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Робоча  ПАПКА\Аналіз виконання  б-ту по видатках\2021\На сайт\01.06.21\"/>
    </mc:Choice>
  </mc:AlternateContent>
  <bookViews>
    <workbookView xWindow="0" yWindow="0" windowWidth="28800" windowHeight="11685"/>
  </bookViews>
  <sheets>
    <sheet name="2021" sheetId="22" r:id="rId1"/>
  </sheets>
  <definedNames>
    <definedName name="Print_Area" localSheetId="0">'2021'!$A$1:$R$123</definedName>
    <definedName name="Print_Titles" localSheetId="0">'2021'!$3:$5</definedName>
    <definedName name="_xlnm.Print_Titles" localSheetId="0">'2021'!$3:$5</definedName>
    <definedName name="_xlnm.Print_Area" localSheetId="0">'2021'!$A$1:$R$144</definedName>
  </definedNames>
  <calcPr calcId="152511"/>
</workbook>
</file>

<file path=xl/calcChain.xml><?xml version="1.0" encoding="utf-8"?>
<calcChain xmlns="http://schemas.openxmlformats.org/spreadsheetml/2006/main">
  <c r="R97" i="22" l="1"/>
  <c r="Q50" i="22" l="1"/>
  <c r="L7" i="22"/>
  <c r="E9" i="22" l="1"/>
  <c r="K61" i="22"/>
  <c r="K62" i="22"/>
  <c r="K60" i="22" l="1"/>
  <c r="J99" i="22"/>
  <c r="J98" i="22"/>
  <c r="J84" i="22"/>
  <c r="J77" i="22"/>
  <c r="J90" i="22" s="1"/>
  <c r="J72" i="22"/>
  <c r="J115" i="22" s="1"/>
  <c r="J70" i="22"/>
  <c r="J60" i="22"/>
  <c r="J73" i="22" s="1"/>
  <c r="J33" i="22"/>
  <c r="J18" i="22"/>
  <c r="J14" i="22"/>
  <c r="J9" i="22"/>
  <c r="M72" i="22"/>
  <c r="K72" i="22"/>
  <c r="I72" i="22"/>
  <c r="H72" i="22"/>
  <c r="G72" i="22"/>
  <c r="E72" i="22"/>
  <c r="F50" i="22"/>
  <c r="F54" i="22"/>
  <c r="Q54" i="22" s="1"/>
  <c r="F58" i="22"/>
  <c r="Q58" i="22" s="1"/>
  <c r="E59" i="22"/>
  <c r="E64" i="22"/>
  <c r="A59" i="22"/>
  <c r="A60" i="22" s="1"/>
  <c r="O50" i="22" l="1"/>
  <c r="L50" i="22"/>
  <c r="N50" i="22"/>
  <c r="J116" i="22"/>
  <c r="J114" i="22" s="1"/>
  <c r="J97" i="22"/>
  <c r="J101" i="22" s="1"/>
  <c r="J103" i="22" s="1"/>
  <c r="J47" i="22"/>
  <c r="J105" i="22" s="1"/>
  <c r="J92" i="22"/>
  <c r="J71" i="22"/>
  <c r="J68" i="22" s="1"/>
  <c r="N54" i="22"/>
  <c r="J107" i="22" l="1"/>
  <c r="J109" i="22" s="1"/>
  <c r="J113" i="22"/>
  <c r="J118" i="22" s="1"/>
  <c r="J130" i="22" s="1"/>
  <c r="J75" i="22"/>
  <c r="J120" i="22" s="1"/>
  <c r="F66" i="22" l="1"/>
  <c r="D60" i="22"/>
  <c r="Q66" i="22" l="1"/>
  <c r="O66" i="22"/>
  <c r="N66" i="22"/>
  <c r="I99" i="22" l="1"/>
  <c r="I98" i="22"/>
  <c r="I84" i="22"/>
  <c r="I77" i="22"/>
  <c r="I90" i="22" s="1"/>
  <c r="I70" i="22"/>
  <c r="I60" i="22"/>
  <c r="I73" i="22" s="1"/>
  <c r="I33" i="22"/>
  <c r="I18" i="22"/>
  <c r="I14" i="22"/>
  <c r="I9" i="22"/>
  <c r="I71" i="22" l="1"/>
  <c r="I68" i="22" s="1"/>
  <c r="I115" i="22"/>
  <c r="I97" i="22"/>
  <c r="I101" i="22" s="1"/>
  <c r="I103" i="22" s="1"/>
  <c r="I116" i="22"/>
  <c r="I47" i="22"/>
  <c r="I92" i="22"/>
  <c r="I113" i="22" l="1"/>
  <c r="I114" i="22"/>
  <c r="I107" i="22"/>
  <c r="I109" i="22" s="1"/>
  <c r="I105" i="22"/>
  <c r="I118" i="22" s="1"/>
  <c r="I130" i="22" s="1"/>
  <c r="I75" i="22"/>
  <c r="I120" i="22" s="1"/>
  <c r="E99" i="22"/>
  <c r="M99" i="22"/>
  <c r="F43" i="22"/>
  <c r="F32" i="22"/>
  <c r="H99" i="22"/>
  <c r="H98" i="22"/>
  <c r="H84" i="22"/>
  <c r="H77" i="22"/>
  <c r="H90" i="22" s="1"/>
  <c r="H70" i="22"/>
  <c r="H60" i="22"/>
  <c r="H73" i="22" s="1"/>
  <c r="H71" i="22" s="1"/>
  <c r="H68" i="22" s="1"/>
  <c r="H33" i="22"/>
  <c r="H18" i="22"/>
  <c r="H14" i="22"/>
  <c r="H9" i="22"/>
  <c r="K99" i="22"/>
  <c r="G99" i="22"/>
  <c r="D99" i="22"/>
  <c r="F95" i="22"/>
  <c r="Q95" i="22" s="1"/>
  <c r="F64" i="22"/>
  <c r="N64" i="22" s="1"/>
  <c r="L32" i="22" l="1"/>
  <c r="O32" i="22"/>
  <c r="H97" i="22"/>
  <c r="H113" i="22" s="1"/>
  <c r="H115" i="22"/>
  <c r="H116" i="22"/>
  <c r="N95" i="22"/>
  <c r="Q43" i="22"/>
  <c r="Q64" i="22"/>
  <c r="N43" i="22"/>
  <c r="L64" i="22"/>
  <c r="Q32" i="22"/>
  <c r="H47" i="22"/>
  <c r="H105" i="22" s="1"/>
  <c r="O64" i="22"/>
  <c r="N32" i="22"/>
  <c r="H92" i="22"/>
  <c r="H114" i="22" l="1"/>
  <c r="H118" i="22"/>
  <c r="H130" i="22" s="1"/>
  <c r="H101" i="22"/>
  <c r="H103" i="22" s="1"/>
  <c r="H75" i="22"/>
  <c r="H107" i="22"/>
  <c r="H109" i="22" s="1"/>
  <c r="H120" i="22" l="1"/>
  <c r="A25" i="22"/>
  <c r="M98" i="22" l="1"/>
  <c r="M97" i="22" s="1"/>
  <c r="F10" i="22" l="1"/>
  <c r="P9" i="22"/>
  <c r="M9" i="22"/>
  <c r="K9" i="22"/>
  <c r="G9" i="22"/>
  <c r="K33" i="22"/>
  <c r="K18" i="22"/>
  <c r="K14" i="22"/>
  <c r="K73" i="22"/>
  <c r="K116" i="22" s="1"/>
  <c r="K70" i="22"/>
  <c r="K77" i="22"/>
  <c r="K90" i="22" s="1"/>
  <c r="K92" i="22" s="1"/>
  <c r="K84" i="22"/>
  <c r="K98" i="22"/>
  <c r="F111" i="22"/>
  <c r="M111" i="22" s="1"/>
  <c r="F99" i="22"/>
  <c r="F94" i="22"/>
  <c r="R94" i="22" s="1"/>
  <c r="F89" i="22"/>
  <c r="F88" i="22"/>
  <c r="F87" i="22"/>
  <c r="O87" i="22" s="1"/>
  <c r="F86" i="22"/>
  <c r="F85" i="22"/>
  <c r="F83" i="22"/>
  <c r="R83" i="22" s="1"/>
  <c r="F82" i="22"/>
  <c r="R82" i="22" s="1"/>
  <c r="F81" i="22"/>
  <c r="O81" i="22" s="1"/>
  <c r="F80" i="22"/>
  <c r="F79" i="22"/>
  <c r="F78" i="22"/>
  <c r="F65" i="22"/>
  <c r="F63" i="22"/>
  <c r="R63" i="22" s="1"/>
  <c r="F62" i="22"/>
  <c r="R62" i="22" s="1"/>
  <c r="F61" i="22"/>
  <c r="R61" i="22" s="1"/>
  <c r="F59" i="22"/>
  <c r="R59" i="22" s="1"/>
  <c r="F57" i="22"/>
  <c r="F56" i="22"/>
  <c r="F53" i="22"/>
  <c r="R53" i="22" s="1"/>
  <c r="F52" i="22"/>
  <c r="F51" i="22"/>
  <c r="F49" i="22"/>
  <c r="F48" i="22"/>
  <c r="F46" i="22"/>
  <c r="F45" i="22"/>
  <c r="F44" i="22"/>
  <c r="F42" i="22"/>
  <c r="F41" i="22"/>
  <c r="F40" i="22"/>
  <c r="F39" i="22"/>
  <c r="F38" i="22"/>
  <c r="F37" i="22"/>
  <c r="F36" i="22"/>
  <c r="F35" i="22"/>
  <c r="F34" i="22"/>
  <c r="F31" i="22"/>
  <c r="F30" i="22"/>
  <c r="F29" i="22"/>
  <c r="F28" i="22"/>
  <c r="F27" i="22"/>
  <c r="F26" i="22"/>
  <c r="F25" i="22"/>
  <c r="R25" i="22" s="1"/>
  <c r="F24" i="22"/>
  <c r="F23" i="22"/>
  <c r="F22" i="22"/>
  <c r="F21" i="22"/>
  <c r="F20" i="22"/>
  <c r="F19" i="22"/>
  <c r="F17" i="22"/>
  <c r="F16" i="22"/>
  <c r="F15" i="22"/>
  <c r="F13" i="22"/>
  <c r="F12" i="22"/>
  <c r="F11" i="22"/>
  <c r="F8" i="22"/>
  <c r="F7" i="22"/>
  <c r="P84" i="22"/>
  <c r="L40" i="22" l="1"/>
  <c r="L10" i="22"/>
  <c r="Q10" i="22"/>
  <c r="O10" i="22"/>
  <c r="O86" i="22"/>
  <c r="L86" i="22"/>
  <c r="O27" i="22"/>
  <c r="R27" i="22"/>
  <c r="R15" i="22"/>
  <c r="O15" i="22"/>
  <c r="R16" i="22"/>
  <c r="O16" i="22"/>
  <c r="K47" i="22"/>
  <c r="K107" i="22" s="1"/>
  <c r="K109" i="22" s="1"/>
  <c r="F9" i="22"/>
  <c r="N24" i="22"/>
  <c r="R11" i="22"/>
  <c r="O11" i="22"/>
  <c r="O13" i="22"/>
  <c r="R13" i="22"/>
  <c r="N10" i="22"/>
  <c r="K115" i="22"/>
  <c r="K114" i="22" s="1"/>
  <c r="K71" i="22"/>
  <c r="K97" i="22"/>
  <c r="K101" i="22" s="1"/>
  <c r="K103" i="22" s="1"/>
  <c r="Q24" i="22"/>
  <c r="K105" i="22" l="1"/>
  <c r="K68" i="22"/>
  <c r="P18" i="22"/>
  <c r="Q59" i="22"/>
  <c r="M18" i="22"/>
  <c r="G18" i="22"/>
  <c r="F18" i="22" s="1"/>
  <c r="G98" i="22"/>
  <c r="F98" i="22" s="1"/>
  <c r="G97" i="22"/>
  <c r="F97" i="22" s="1"/>
  <c r="E98" i="22"/>
  <c r="E97" i="22" s="1"/>
  <c r="M70" i="22"/>
  <c r="F72" i="22"/>
  <c r="G70" i="22"/>
  <c r="F70" i="22" s="1"/>
  <c r="E70" i="22"/>
  <c r="M60" i="22"/>
  <c r="G60" i="22"/>
  <c r="F60" i="22" s="1"/>
  <c r="E60" i="22"/>
  <c r="E33" i="22"/>
  <c r="E18" i="22"/>
  <c r="E14" i="22"/>
  <c r="E47" i="22" l="1"/>
  <c r="K75" i="22"/>
  <c r="K113" i="22"/>
  <c r="G115" i="22"/>
  <c r="F115" i="22" s="1"/>
  <c r="O59" i="22"/>
  <c r="L59" i="22"/>
  <c r="N59" i="22"/>
  <c r="M115" i="22"/>
  <c r="K118" i="22" l="1"/>
  <c r="K130" i="22" s="1"/>
  <c r="K120" i="22"/>
  <c r="D55" i="22" l="1"/>
  <c r="D73" i="22" s="1"/>
  <c r="G55" i="22"/>
  <c r="F55" i="22" s="1"/>
  <c r="M55" i="22"/>
  <c r="P55" i="22"/>
  <c r="N56" i="22"/>
  <c r="E57" i="22"/>
  <c r="R57" i="22"/>
  <c r="U57" i="22"/>
  <c r="D21" i="22"/>
  <c r="D19" i="22"/>
  <c r="E55" i="22" l="1"/>
  <c r="E73" i="22" s="1"/>
  <c r="E71" i="22" s="1"/>
  <c r="E68" i="22" s="1"/>
  <c r="E75" i="22" s="1"/>
  <c r="M73" i="22"/>
  <c r="Q55" i="22"/>
  <c r="G73" i="22"/>
  <c r="F73" i="22" s="1"/>
  <c r="N57" i="22"/>
  <c r="R56" i="22"/>
  <c r="Q56" i="22"/>
  <c r="Q57" i="22"/>
  <c r="D18" i="22"/>
  <c r="M71" i="22" l="1"/>
  <c r="M68" i="22" s="1"/>
  <c r="M113" i="22" s="1"/>
  <c r="M116" i="22"/>
  <c r="M114" i="22" s="1"/>
  <c r="N55" i="22"/>
  <c r="G71" i="22"/>
  <c r="G116" i="22"/>
  <c r="R55" i="22"/>
  <c r="G68" i="22" l="1"/>
  <c r="F71" i="22"/>
  <c r="G114" i="22"/>
  <c r="F114" i="22" s="1"/>
  <c r="F116" i="22"/>
  <c r="P98" i="22"/>
  <c r="P77" i="22"/>
  <c r="P90" i="22" s="1"/>
  <c r="P72" i="22"/>
  <c r="P70" i="22"/>
  <c r="P60" i="22"/>
  <c r="P73" i="22" s="1"/>
  <c r="P33" i="22"/>
  <c r="P14" i="22"/>
  <c r="P47" i="22" s="1"/>
  <c r="G113" i="22" l="1"/>
  <c r="F113" i="22" s="1"/>
  <c r="F68" i="22"/>
  <c r="P116" i="22"/>
  <c r="P97" i="22"/>
  <c r="P101" i="22" s="1"/>
  <c r="T101" i="22" s="1"/>
  <c r="P71" i="22"/>
  <c r="P68" i="22" s="1"/>
  <c r="P92" i="22"/>
  <c r="P115" i="22"/>
  <c r="S18" i="22"/>
  <c r="S15" i="22"/>
  <c r="P75" i="22" l="1"/>
  <c r="P118" i="22" s="1"/>
  <c r="P107" i="22"/>
  <c r="P109" i="22" s="1"/>
  <c r="P114" i="22"/>
  <c r="P113" i="22"/>
  <c r="P105" i="22"/>
  <c r="P103" i="22"/>
  <c r="P120" i="22" l="1"/>
  <c r="R111" i="22"/>
  <c r="D98" i="22"/>
  <c r="D97" i="22" s="1"/>
  <c r="N88" i="22"/>
  <c r="N87" i="22"/>
  <c r="M84" i="22"/>
  <c r="G84" i="22"/>
  <c r="F84" i="22" s="1"/>
  <c r="D84" i="22"/>
  <c r="N82" i="22"/>
  <c r="N80" i="22"/>
  <c r="A81" i="22"/>
  <c r="A82" i="22" s="1"/>
  <c r="A83" i="22" s="1"/>
  <c r="A84" i="22" s="1"/>
  <c r="R79" i="22"/>
  <c r="Q78" i="22"/>
  <c r="M77" i="22"/>
  <c r="M90" i="22" s="1"/>
  <c r="G77" i="22"/>
  <c r="F77" i="22" s="1"/>
  <c r="D77" i="22"/>
  <c r="D90" i="22" s="1"/>
  <c r="D72" i="22"/>
  <c r="D70" i="22"/>
  <c r="Q63" i="22"/>
  <c r="N62" i="22"/>
  <c r="Q61" i="22"/>
  <c r="T60" i="22"/>
  <c r="N53" i="22"/>
  <c r="O52" i="22"/>
  <c r="N51" i="22"/>
  <c r="O48" i="22"/>
  <c r="A49" i="22"/>
  <c r="L45" i="22"/>
  <c r="L42" i="22"/>
  <c r="Q41" i="22"/>
  <c r="Q40" i="22"/>
  <c r="O39" i="22"/>
  <c r="A39" i="22"/>
  <c r="A40" i="22" s="1"/>
  <c r="A41" i="22" s="1"/>
  <c r="N38" i="22"/>
  <c r="O36" i="22"/>
  <c r="L35" i="22"/>
  <c r="R34" i="22"/>
  <c r="S34" i="22" s="1"/>
  <c r="M33" i="22"/>
  <c r="G33" i="22"/>
  <c r="F33" i="22" s="1"/>
  <c r="D33" i="22"/>
  <c r="R31" i="22"/>
  <c r="L26" i="22"/>
  <c r="O25" i="22"/>
  <c r="A26" i="22"/>
  <c r="A27" i="22" s="1"/>
  <c r="A28" i="22" s="1"/>
  <c r="A29" i="22" s="1"/>
  <c r="A30" i="22" s="1"/>
  <c r="A31" i="22" s="1"/>
  <c r="A32" i="22" s="1"/>
  <c r="A33" i="22" s="1"/>
  <c r="O23" i="22"/>
  <c r="L22" i="22"/>
  <c r="R21" i="22"/>
  <c r="S21" i="22" s="1"/>
  <c r="M14" i="22"/>
  <c r="G14" i="22"/>
  <c r="D14" i="22"/>
  <c r="D9" i="22"/>
  <c r="U8" i="22"/>
  <c r="V8" i="22" s="1"/>
  <c r="R8" i="22"/>
  <c r="A8" i="22"/>
  <c r="V7" i="22"/>
  <c r="U7" i="22"/>
  <c r="C5" i="22"/>
  <c r="D5" i="22" s="1"/>
  <c r="F5" i="22" s="1"/>
  <c r="G5" i="22" s="1"/>
  <c r="A50" i="22" l="1"/>
  <c r="A51" i="22" s="1"/>
  <c r="A52" i="22" s="1"/>
  <c r="A53" i="22" s="1"/>
  <c r="A54" i="22" s="1"/>
  <c r="M47" i="22"/>
  <c r="H5" i="22"/>
  <c r="I5" i="22" s="1"/>
  <c r="J5" i="22" s="1"/>
  <c r="K5" i="22" s="1"/>
  <c r="N5" i="22" s="1"/>
  <c r="O5" i="22" s="1"/>
  <c r="Q5" i="22" s="1"/>
  <c r="R5" i="22" s="1"/>
  <c r="A42" i="22"/>
  <c r="A43" i="22" s="1"/>
  <c r="A44" i="22" s="1"/>
  <c r="A45" i="22" s="1"/>
  <c r="A46" i="22" s="1"/>
  <c r="F14" i="22"/>
  <c r="R14" i="22" s="1"/>
  <c r="G47" i="22"/>
  <c r="F47" i="22" s="1"/>
  <c r="D115" i="22"/>
  <c r="M101" i="22"/>
  <c r="M103" i="22" s="1"/>
  <c r="N7" i="22"/>
  <c r="N9" i="22"/>
  <c r="D47" i="22"/>
  <c r="D105" i="22" s="1"/>
  <c r="N79" i="22"/>
  <c r="Q79" i="22"/>
  <c r="L81" i="22"/>
  <c r="O21" i="22"/>
  <c r="R80" i="22"/>
  <c r="L20" i="22"/>
  <c r="R48" i="22"/>
  <c r="Q21" i="22"/>
  <c r="U23" i="22"/>
  <c r="L85" i="22"/>
  <c r="O22" i="22"/>
  <c r="R78" i="22"/>
  <c r="O80" i="22"/>
  <c r="N21" i="22"/>
  <c r="L34" i="22"/>
  <c r="L48" i="22"/>
  <c r="Q80" i="22"/>
  <c r="L38" i="22"/>
  <c r="N61" i="22"/>
  <c r="Q111" i="22"/>
  <c r="L13" i="22"/>
  <c r="R38" i="22"/>
  <c r="Q52" i="22"/>
  <c r="O61" i="22"/>
  <c r="N13" i="22"/>
  <c r="Q13" i="22"/>
  <c r="R23" i="22"/>
  <c r="O38" i="22"/>
  <c r="L62" i="22"/>
  <c r="N26" i="22"/>
  <c r="R26" i="22"/>
  <c r="N35" i="22"/>
  <c r="N40" i="22"/>
  <c r="R52" i="22"/>
  <c r="N34" i="22"/>
  <c r="N23" i="22"/>
  <c r="O34" i="22"/>
  <c r="N42" i="22"/>
  <c r="N49" i="22"/>
  <c r="R70" i="22"/>
  <c r="T15" i="22"/>
  <c r="L21" i="22"/>
  <c r="L25" i="22"/>
  <c r="R39" i="22"/>
  <c r="S39" i="22" s="1"/>
  <c r="L41" i="22"/>
  <c r="E77" i="22"/>
  <c r="N85" i="22"/>
  <c r="N52" i="22"/>
  <c r="Q39" i="22"/>
  <c r="R49" i="22"/>
  <c r="L94" i="22"/>
  <c r="T18" i="22"/>
  <c r="L29" i="22"/>
  <c r="Q87" i="22"/>
  <c r="Q35" i="22"/>
  <c r="L30" i="22"/>
  <c r="Q26" i="22"/>
  <c r="R35" i="22"/>
  <c r="S35" i="22" s="1"/>
  <c r="N39" i="22"/>
  <c r="O26" i="22"/>
  <c r="O35" i="22"/>
  <c r="L37" i="22"/>
  <c r="Q49" i="22"/>
  <c r="L53" i="22"/>
  <c r="L82" i="22"/>
  <c r="Q85" i="22"/>
  <c r="N89" i="22"/>
  <c r="W47" i="22"/>
  <c r="R33" i="22"/>
  <c r="O33" i="22"/>
  <c r="N33" i="22"/>
  <c r="Q33" i="22"/>
  <c r="R84" i="22"/>
  <c r="O84" i="22"/>
  <c r="N84" i="22"/>
  <c r="Q84" i="22"/>
  <c r="N18" i="22"/>
  <c r="Q18" i="22"/>
  <c r="O18" i="22"/>
  <c r="R18" i="22"/>
  <c r="T47" i="22"/>
  <c r="U45" i="22"/>
  <c r="R30" i="22"/>
  <c r="L44" i="22"/>
  <c r="Q12" i="22"/>
  <c r="Q17" i="22"/>
  <c r="Q7" i="22"/>
  <c r="L8" i="22"/>
  <c r="O12" i="22"/>
  <c r="R12" i="22"/>
  <c r="R29" i="22"/>
  <c r="S29" i="22" s="1"/>
  <c r="L31" i="22"/>
  <c r="R7" i="22"/>
  <c r="N8" i="22"/>
  <c r="Q8" i="22"/>
  <c r="N11" i="22"/>
  <c r="Q11" i="22"/>
  <c r="Q15" i="22"/>
  <c r="N16" i="22"/>
  <c r="Q20" i="22"/>
  <c r="U21" i="22"/>
  <c r="O29" i="22"/>
  <c r="N31" i="22"/>
  <c r="O37" i="22"/>
  <c r="N41" i="22"/>
  <c r="Q45" i="22"/>
  <c r="N46" i="22"/>
  <c r="N63" i="22"/>
  <c r="L63" i="22"/>
  <c r="L83" i="22"/>
  <c r="N83" i="22"/>
  <c r="Q83" i="22"/>
  <c r="O20" i="22"/>
  <c r="Q23" i="22"/>
  <c r="Q27" i="22"/>
  <c r="N27" i="22"/>
  <c r="L28" i="22"/>
  <c r="Q36" i="22"/>
  <c r="N36" i="22"/>
  <c r="R36" i="22"/>
  <c r="R51" i="22"/>
  <c r="L12" i="22"/>
  <c r="Q30" i="22"/>
  <c r="N30" i="22"/>
  <c r="N12" i="22"/>
  <c r="R19" i="22"/>
  <c r="O19" i="22"/>
  <c r="N28" i="22"/>
  <c r="O30" i="22"/>
  <c r="Q37" i="22"/>
  <c r="R44" i="22"/>
  <c r="O44" i="22"/>
  <c r="Q44" i="22"/>
  <c r="L46" i="22"/>
  <c r="L52" i="22"/>
  <c r="Q53" i="22"/>
  <c r="Q86" i="22"/>
  <c r="N86" i="22"/>
  <c r="R17" i="22"/>
  <c r="N19" i="22"/>
  <c r="L39" i="22"/>
  <c r="Q70" i="22"/>
  <c r="N70" i="22"/>
  <c r="L17" i="22"/>
  <c r="Q28" i="22"/>
  <c r="N17" i="22"/>
  <c r="L11" i="22"/>
  <c r="L15" i="22"/>
  <c r="O17" i="22"/>
  <c r="R37" i="22"/>
  <c r="N44" i="22"/>
  <c r="O7" i="22"/>
  <c r="Q16" i="22"/>
  <c r="L19" i="22"/>
  <c r="Q19" i="22"/>
  <c r="L16" i="22"/>
  <c r="Q29" i="22"/>
  <c r="N29" i="22"/>
  <c r="N37" i="22"/>
  <c r="Q46" i="22"/>
  <c r="O53" i="22"/>
  <c r="N15" i="22"/>
  <c r="Q25" i="22"/>
  <c r="Q31" i="22"/>
  <c r="N78" i="22"/>
  <c r="L78" i="22"/>
  <c r="O78" i="22"/>
  <c r="D92" i="22"/>
  <c r="D101" i="22"/>
  <c r="D103" i="22" s="1"/>
  <c r="O8" i="22"/>
  <c r="N20" i="22"/>
  <c r="R20" i="22"/>
  <c r="Q22" i="22"/>
  <c r="N22" i="22"/>
  <c r="R22" i="22"/>
  <c r="L23" i="22"/>
  <c r="N25" i="22"/>
  <c r="S25" i="22"/>
  <c r="L27" i="22"/>
  <c r="O31" i="22"/>
  <c r="Q34" i="22"/>
  <c r="L36" i="22"/>
  <c r="Q38" i="22"/>
  <c r="R42" i="22"/>
  <c r="O42" i="22"/>
  <c r="Q42" i="22"/>
  <c r="N45" i="22"/>
  <c r="Q48" i="22"/>
  <c r="N48" i="22"/>
  <c r="Q51" i="22"/>
  <c r="O63" i="22"/>
  <c r="Q81" i="22"/>
  <c r="N81" i="22"/>
  <c r="O83" i="22"/>
  <c r="R86" i="22"/>
  <c r="R88" i="22"/>
  <c r="O88" i="22"/>
  <c r="L88" i="22"/>
  <c r="Q88" i="22"/>
  <c r="L61" i="22"/>
  <c r="G90" i="22"/>
  <c r="G92" i="22" s="1"/>
  <c r="F92" i="22" s="1"/>
  <c r="E84" i="22"/>
  <c r="L84" i="22" s="1"/>
  <c r="O62" i="22"/>
  <c r="Q62" i="22"/>
  <c r="L80" i="22"/>
  <c r="E115" i="22"/>
  <c r="M92" i="22"/>
  <c r="O82" i="22"/>
  <c r="Q82" i="22"/>
  <c r="Q94" i="22"/>
  <c r="N94" i="22"/>
  <c r="R89" i="22"/>
  <c r="O89" i="22"/>
  <c r="L89" i="22"/>
  <c r="Q89" i="22"/>
  <c r="L111" i="22"/>
  <c r="L87" i="22"/>
  <c r="R87" i="22"/>
  <c r="O14" i="22" l="1"/>
  <c r="Q14" i="22"/>
  <c r="L14" i="22"/>
  <c r="N14" i="22"/>
  <c r="E90" i="22"/>
  <c r="G101" i="22"/>
  <c r="F90" i="22"/>
  <c r="O90" i="22" s="1"/>
  <c r="G75" i="22"/>
  <c r="F75" i="22" s="1"/>
  <c r="R9" i="22"/>
  <c r="Q9" i="22"/>
  <c r="G105" i="22"/>
  <c r="O9" i="22"/>
  <c r="M75" i="22"/>
  <c r="M105" i="22"/>
  <c r="M118" i="22" s="1"/>
  <c r="M130" i="22" s="1"/>
  <c r="M107" i="22"/>
  <c r="M109" i="22" s="1"/>
  <c r="L33" i="22"/>
  <c r="L18" i="22"/>
  <c r="D107" i="22"/>
  <c r="D109" i="22" s="1"/>
  <c r="L9" i="22"/>
  <c r="O111" i="22"/>
  <c r="N98" i="22"/>
  <c r="L98" i="22"/>
  <c r="Q98" i="22"/>
  <c r="D116" i="22"/>
  <c r="D114" i="22" s="1"/>
  <c r="D71" i="22"/>
  <c r="D68" i="22" s="1"/>
  <c r="N65" i="22"/>
  <c r="O65" i="22"/>
  <c r="L65" i="22"/>
  <c r="Q65" i="22"/>
  <c r="T75" i="22"/>
  <c r="L60" i="22"/>
  <c r="R60" i="22"/>
  <c r="O60" i="22"/>
  <c r="Q60" i="22"/>
  <c r="N60" i="22"/>
  <c r="L47" i="22"/>
  <c r="L72" i="22"/>
  <c r="O72" i="22"/>
  <c r="N72" i="22"/>
  <c r="Q72" i="22"/>
  <c r="R72" i="22"/>
  <c r="Q47" i="22"/>
  <c r="N47" i="22"/>
  <c r="T45" i="22"/>
  <c r="V45" i="22" s="1"/>
  <c r="R47" i="22"/>
  <c r="O47" i="22"/>
  <c r="T118" i="22"/>
  <c r="N111" i="22"/>
  <c r="Q77" i="22"/>
  <c r="O77" i="22"/>
  <c r="R77" i="22"/>
  <c r="N77" i="22"/>
  <c r="L77" i="22"/>
  <c r="O97" i="22"/>
  <c r="E92" i="22" l="1"/>
  <c r="E107" i="22" s="1"/>
  <c r="E109" i="22" s="1"/>
  <c r="G103" i="22"/>
  <c r="F103" i="22" s="1"/>
  <c r="F101" i="22"/>
  <c r="G107" i="22"/>
  <c r="G109" i="22" s="1"/>
  <c r="F109" i="22" s="1"/>
  <c r="O92" i="22"/>
  <c r="G118" i="22"/>
  <c r="F105" i="22"/>
  <c r="N105" i="22" s="1"/>
  <c r="Q99" i="22"/>
  <c r="N99" i="22"/>
  <c r="N115" i="22"/>
  <c r="R115" i="22"/>
  <c r="Q115" i="22"/>
  <c r="L115" i="22"/>
  <c r="O115" i="22"/>
  <c r="D113" i="22"/>
  <c r="D118" i="22" s="1"/>
  <c r="D130" i="22" s="1"/>
  <c r="D75" i="22"/>
  <c r="D120" i="22" s="1"/>
  <c r="E120" i="22" s="1"/>
  <c r="E105" i="22"/>
  <c r="N97" i="22"/>
  <c r="Q97" i="22"/>
  <c r="R90" i="22"/>
  <c r="L90" i="22"/>
  <c r="N90" i="22"/>
  <c r="Q90" i="22"/>
  <c r="M120" i="22"/>
  <c r="W75" i="22"/>
  <c r="F107" i="22" l="1"/>
  <c r="F118" i="22"/>
  <c r="G130" i="22"/>
  <c r="L105" i="22"/>
  <c r="Q105" i="22"/>
  <c r="R105" i="22"/>
  <c r="O105" i="22"/>
  <c r="R92" i="22"/>
  <c r="L92" i="22"/>
  <c r="Q92" i="22"/>
  <c r="N92" i="22"/>
  <c r="E116" i="22"/>
  <c r="E114" i="22" s="1"/>
  <c r="N116" i="22"/>
  <c r="Q116" i="22"/>
  <c r="R116" i="22"/>
  <c r="O116" i="22"/>
  <c r="Q73" i="22"/>
  <c r="N73" i="22"/>
  <c r="R73" i="22"/>
  <c r="O73" i="22"/>
  <c r="L73" i="22"/>
  <c r="R103" i="22" l="1"/>
  <c r="O103" i="22"/>
  <c r="N103" i="22"/>
  <c r="Q103" i="22"/>
  <c r="L116" i="22"/>
  <c r="G120" i="22"/>
  <c r="F120" i="22" s="1"/>
  <c r="R71" i="22"/>
  <c r="O71" i="22"/>
  <c r="L71" i="22"/>
  <c r="Q71" i="22"/>
  <c r="N71" i="22"/>
  <c r="E113" i="22"/>
  <c r="E118" i="22" s="1"/>
  <c r="E130" i="22" s="1"/>
  <c r="E101" i="22"/>
  <c r="E103" i="22" s="1"/>
  <c r="L103" i="22" s="1"/>
  <c r="L97" i="22"/>
  <c r="R109" i="22"/>
  <c r="L109" i="22"/>
  <c r="Q109" i="22"/>
  <c r="N109" i="22"/>
  <c r="O109" i="22"/>
  <c r="R101" i="22"/>
  <c r="O101" i="22"/>
  <c r="Q101" i="22"/>
  <c r="N101" i="22"/>
  <c r="N114" i="22"/>
  <c r="R114" i="22"/>
  <c r="O114" i="22"/>
  <c r="L114" i="22"/>
  <c r="Q114" i="22"/>
  <c r="R107" i="22"/>
  <c r="L107" i="22"/>
  <c r="O107" i="22"/>
  <c r="Q107" i="22"/>
  <c r="N107" i="22"/>
  <c r="O68" i="22" l="1"/>
  <c r="Q68" i="22"/>
  <c r="R68" i="22"/>
  <c r="L68" i="22"/>
  <c r="N68" i="22"/>
  <c r="N120" i="22"/>
  <c r="O120" i="22"/>
  <c r="L120" i="22"/>
  <c r="Q120" i="22"/>
  <c r="R120" i="22"/>
  <c r="N113" i="22"/>
  <c r="L113" i="22"/>
  <c r="Q113" i="22"/>
  <c r="O113" i="22"/>
  <c r="R113" i="22"/>
  <c r="L101" i="22"/>
  <c r="N118" i="22" l="1"/>
  <c r="Q118" i="22"/>
  <c r="F130" i="22"/>
  <c r="R118" i="22"/>
  <c r="L118" i="22"/>
  <c r="O118" i="22"/>
  <c r="O75" i="22"/>
  <c r="L75" i="22"/>
  <c r="R75" i="22"/>
  <c r="Q75" i="22"/>
  <c r="N75" i="22"/>
</calcChain>
</file>

<file path=xl/sharedStrings.xml><?xml version="1.0" encoding="utf-8"?>
<sst xmlns="http://schemas.openxmlformats.org/spreadsheetml/2006/main" count="222" uniqueCount="210">
  <si>
    <t>№ п/п</t>
  </si>
  <si>
    <t>Найменування доходів</t>
  </si>
  <si>
    <t>Код бюджетної класифікації</t>
  </si>
  <si>
    <t>%</t>
  </si>
  <si>
    <t>1</t>
  </si>
  <si>
    <t>2</t>
  </si>
  <si>
    <t>ЗАГАЛЬНИЙ ФОНД</t>
  </si>
  <si>
    <t>Плата за землю</t>
  </si>
  <si>
    <t>Інші надходження</t>
  </si>
  <si>
    <t>СПЕЦІАЛЬНИЙ ФОНД</t>
  </si>
  <si>
    <t>Бюджет розвитку, в т.ч.</t>
  </si>
  <si>
    <t>Цільові фонди, утворені органами місцевого самоврядування</t>
  </si>
  <si>
    <t>Власні надходження бюджетних установ</t>
  </si>
  <si>
    <t>тис.грн.</t>
  </si>
  <si>
    <t>11010000</t>
  </si>
  <si>
    <t>22090000</t>
  </si>
  <si>
    <t>11020200</t>
  </si>
  <si>
    <t>21010300</t>
  </si>
  <si>
    <t>21080500</t>
  </si>
  <si>
    <t>22080400</t>
  </si>
  <si>
    <t>24060300</t>
  </si>
  <si>
    <t>25000000</t>
  </si>
  <si>
    <t>31030000</t>
  </si>
  <si>
    <t>50110000</t>
  </si>
  <si>
    <t>21081100</t>
  </si>
  <si>
    <t xml:space="preserve">24062100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</si>
  <si>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</si>
  <si>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ВСЬОГО ДОХОДІВ ЗАГАЛЬНОГО ФОНДУ</t>
  </si>
  <si>
    <t>ВСЬОГО трансфертів</t>
  </si>
  <si>
    <t>Адміністративні штрафи та інші санкції</t>
  </si>
  <si>
    <t>19010000</t>
  </si>
  <si>
    <t>Екологічний податок</t>
  </si>
  <si>
    <t>Єдиний податок</t>
  </si>
  <si>
    <t>18050000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</si>
  <si>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</si>
  <si>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прибуток підприємств та фінансових установ комунальної власності</t>
  </si>
  <si>
    <t>Кошти від відчуження майна, що перебуває в комунальній власності</t>
  </si>
  <si>
    <t>18000000</t>
  </si>
  <si>
    <t>18030000</t>
  </si>
  <si>
    <t>Туристичний збір</t>
  </si>
  <si>
    <t>ВСЬОГО ДОХОДІВ ЗАГАЛЬНОГО ТА СПЕЦІАЛЬНОГО ФОНДІВ</t>
  </si>
  <si>
    <t>ВСЬОГО ДОХОДІВ СПЕЦІАЛЬНОГО ФОНДУ</t>
  </si>
  <si>
    <t>33010000</t>
  </si>
  <si>
    <t>18010000</t>
  </si>
  <si>
    <t>24170000</t>
  </si>
  <si>
    <t>Надходження коштів пайової участі у розвитку інфраструктури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</si>
  <si>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</si>
  <si>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24062200</t>
  </si>
  <si>
    <t xml:space="preserve"> </t>
  </si>
  <si>
    <t>Власні і закіплені З Ф</t>
  </si>
  <si>
    <t>Власні і закіплені С Ф</t>
  </si>
  <si>
    <t>Вього СФ</t>
  </si>
  <si>
    <t>вик.: Серветник М.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</si>
  <si>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</si>
  <si>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Державне мито</t>
  </si>
  <si>
    <t>41033900</t>
  </si>
  <si>
    <t>41034200</t>
  </si>
  <si>
    <t>14040000</t>
  </si>
  <si>
    <t>Податок на нерухоме майно, відмінне від земельної ділянки</t>
  </si>
  <si>
    <t>Транспортний податок</t>
  </si>
  <si>
    <t>Плата за надання інших адміністративних послуг</t>
  </si>
  <si>
    <t>22012500</t>
  </si>
  <si>
    <t>Надходження сум кредиторської та депонентської заборгованості</t>
  </si>
  <si>
    <t>24030000</t>
  </si>
  <si>
    <t>січень</t>
  </si>
  <si>
    <t>24110700</t>
  </si>
  <si>
    <t>ВСЬОГО ДОХОДІВ СПЕЦІАЛЬНОГО ФОНДУ 
(без власних надходжень бюджетних установ ККД 25000000)</t>
  </si>
  <si>
    <t>Всього власних та закріплених доходів 
(без власних надходжень бюджетних установ ККД 25000000)</t>
  </si>
  <si>
    <t>Податок та збір на доходи фізичних осіб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</si>
  <si>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</si>
  <si>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24110900</t>
  </si>
  <si>
    <t>Кошти від продажу землі</t>
  </si>
  <si>
    <t>Реверсна дотація</t>
  </si>
  <si>
    <t>21050000</t>
  </si>
  <si>
    <t>Плата за розміщення тимчасово вільних коштів місцевих бюджетів</t>
  </si>
  <si>
    <t>41034900</t>
  </si>
  <si>
    <t>Субвенції, з них:</t>
  </si>
  <si>
    <t>ВСЬОГО ДОХОДІВ ЗАГАЛЬНОГО ТА СПЕЦІАЛЬНОГО ФОНДІВ 
(без власних надходжень бюджетних установ ККД 25000000)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</si>
  <si>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</si>
  <si>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</si>
  <si>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22012600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</si>
  <si>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</si>
  <si>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</si>
  <si>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Адміністративний збір за державну реєстрацію речових прав на нерухоме майно та їх обтяжень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</si>
  <si>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</si>
  <si>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</si>
  <si>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22010000</t>
  </si>
  <si>
    <t>Плата за надання адміністративних послуг:</t>
  </si>
  <si>
    <t>31020000</t>
  </si>
  <si>
    <t>Надходження коштів від Державного фонду дорогоцінних металів і дорогоцінного каміння</t>
  </si>
  <si>
    <t>Надходження коштів від відшкодування втрат сільськогосподарського і лісогосподарського виробництва</t>
  </si>
  <si>
    <t>14021900</t>
  </si>
  <si>
    <t>14031900</t>
  </si>
  <si>
    <t>14000000</t>
  </si>
  <si>
    <t>Внутрішні податки на товари та послуги, в тому числі:</t>
  </si>
  <si>
    <t>* для забезпечення витратними матеріалами (кардіовиробами) хворих області в комунальному закладі "Вінницький регіональний клінічний лікувально-діагностичний центр серцево-судинної патології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</si>
  <si>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</si>
  <si>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21080900</t>
  </si>
  <si>
    <t>Начальник відділу доходів бюджету</t>
  </si>
  <si>
    <t>Ірина Ларіна</t>
  </si>
  <si>
    <t>Акцизний податок з вироблених в Україні підакцизних товарів (продукції) (Пальне)</t>
  </si>
  <si>
    <t>Акцизний податок з ввезених на митну територію України підакцизних товарів (продукції) (Пальне)</t>
  </si>
  <si>
    <t>Акцизний податок з реалізації суб'єктами господарювання роздрібної торгівлі підакцизних товарів</t>
  </si>
  <si>
    <t>22130000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</si>
  <si>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</si>
  <si>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*на цільові видатки на лікування хворих на цукровий та нецукровий діабет</t>
  </si>
  <si>
    <t>з них: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</si>
  <si>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</si>
  <si>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</si>
  <si>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41051500</t>
  </si>
  <si>
    <t>- з місцевого бюджету (ККД 41050000)</t>
  </si>
  <si>
    <t>-з державного бюджету (ККД 41030000)</t>
  </si>
  <si>
    <t>13030100</t>
  </si>
  <si>
    <t>Рентна плата та плата за використання інших природних ресурсів</t>
  </si>
  <si>
    <t>13000000</t>
  </si>
  <si>
    <t>3.1.</t>
  </si>
  <si>
    <t>3.2.</t>
  </si>
  <si>
    <t>3.3.</t>
  </si>
  <si>
    <t>Плата за встановлення земельного сервітуту</t>
  </si>
  <si>
    <t>21081700</t>
  </si>
  <si>
    <t>41040200</t>
  </si>
  <si>
    <t>41053900</t>
  </si>
  <si>
    <t>Дотації з місцевих бюджетів іншим місцевим бюджетам</t>
  </si>
  <si>
    <t xml:space="preserve">Надходження від плати за послуги, що надаються бюджетними установами згідно із законодавством </t>
  </si>
  <si>
    <t>25010000</t>
  </si>
  <si>
    <t xml:space="preserve">Інші джерела власних надходжень бюджетних установ  </t>
  </si>
  <si>
    <t>25020000</t>
  </si>
  <si>
    <t>1.1.</t>
  </si>
  <si>
    <t>1.2.</t>
  </si>
  <si>
    <t>41051000</t>
  </si>
  <si>
    <t>4.1.</t>
  </si>
  <si>
    <t>4.2.</t>
  </si>
  <si>
    <t>4.3.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</si>
  <si>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</si>
  <si>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</si>
  <si>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41055000</t>
  </si>
  <si>
    <t>6.1.</t>
  </si>
  <si>
    <t>6.2.</t>
  </si>
  <si>
    <t>6.3.</t>
  </si>
  <si>
    <t>6.4.</t>
  </si>
  <si>
    <t>Бюджет 
на 2021 рік</t>
  </si>
  <si>
    <t>Уточнений бюджет на 2021 рік</t>
  </si>
  <si>
    <t>13040100</t>
  </si>
  <si>
    <t xml:space="preserve">Рентна плата за користування надрами для видобування корисних копалин місцевого значення </t>
  </si>
  <si>
    <t xml:space="preserve">Рентна плата за користування надрами для видобування інших корисних копалин загальнодержавного значення </t>
  </si>
  <si>
    <t>Місцеві податки та збори, що сплачуються (перераховуються) згідно з податковим кодексом України</t>
  </si>
  <si>
    <t>Плата за гарантії, надані Верховною Радою Автономної Республіки Крим, міськими та обласними радами</t>
  </si>
  <si>
    <t>5.1.</t>
  </si>
  <si>
    <t>5.2.</t>
  </si>
  <si>
    <t>5.3.</t>
  </si>
  <si>
    <t>5.4.</t>
  </si>
  <si>
    <t>5.5.</t>
  </si>
  <si>
    <t>ВСЬОГО ДОХОДІВ ЗАГАЛЬНОГО 
ТА СПЕЦІАЛЬНОГО ФОНДІВ</t>
  </si>
  <si>
    <t>Податки та збори, не віднесені до інших категорій</t>
  </si>
  <si>
    <t>19090500</t>
  </si>
  <si>
    <t>лютий</t>
  </si>
  <si>
    <t>13010100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</si>
  <si>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</si>
  <si>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3.4.</t>
  </si>
  <si>
    <t>Всього власних доходів</t>
  </si>
  <si>
    <t>Власні доходи
(без власних надходжень бюджетних установ ККД 25000000)</t>
  </si>
  <si>
    <t>Власні доходи 
(без власних надходжень бюджетних установ ККД 25000000) 
+освітня субвенція+медична субвенція+реверсна дотація</t>
  </si>
  <si>
    <t>Власні доходи</t>
  </si>
  <si>
    <t>24061900</t>
  </si>
  <si>
    <t>Кошти, отримані від надання учасниками процедури закупівель як забезпечення їх тендерної пропозиції (пропозиції конкурсних торгів), які не підлягають поверненню цим учасникам</t>
  </si>
  <si>
    <t>березень</t>
  </si>
  <si>
    <t>21082400</t>
  </si>
  <si>
    <t>Кошти гарантійного та реєстраційного внесків, що визначені Законом України 'Про оренду державного та комунального майна', які підлягають перерахуванню оператором електронного майданчика до відповідного бюджету</t>
  </si>
  <si>
    <t>15.1.</t>
  </si>
  <si>
    <t>15.2.</t>
  </si>
  <si>
    <t>15.3.</t>
  </si>
  <si>
    <t>15.4.</t>
  </si>
  <si>
    <t>квітень</t>
  </si>
  <si>
    <t>Надійшло за січень - травень 2021р.</t>
  </si>
  <si>
    <t>План на січень - травень 2021 року</t>
  </si>
  <si>
    <t>Відхилення надходжень до бюджету на січень - травень 2021 року</t>
  </si>
  <si>
    <t>Надійшло за січень - травень 2020р.</t>
  </si>
  <si>
    <t>Відхилення факту січня - травня 2021р. від факту січня - травня 2020р.</t>
  </si>
  <si>
    <t>41051400</t>
  </si>
  <si>
    <t>41034500</t>
  </si>
  <si>
    <t>11.1.</t>
  </si>
  <si>
    <t>11.2.</t>
  </si>
  <si>
    <t>11.3.</t>
  </si>
  <si>
    <t>11.4.</t>
  </si>
  <si>
    <t>11.5.</t>
  </si>
  <si>
    <t>11.6.</t>
  </si>
  <si>
    <t>травень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</si>
  <si>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</si>
  <si>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</si>
  <si>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</si>
  <si>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</si>
  <si>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</si>
  <si>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</si>
  <si>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</si>
  <si>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</si>
  <si>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</si>
  <si>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Інші субвенції з місцевого бюджету</t>
  </si>
  <si>
    <t>* субвенція з обласного бюджету на відшкодування витрат на поховання учасників бойових дій та осіб з інвалідністю внаслідок війни</t>
  </si>
  <si>
    <t>* субвенція з обласного бюджету на пільгове медичне обслуговування  громадян, які постраждали внаслідок Чорнобильської катастрофи</t>
  </si>
  <si>
    <t>* субвенція з обласного бюджету на компенсаційні виплати особам з інвалідністю на бензин (пальне), ремонт, техобслуговування автотранспорту та на транспортне обслуговування, встановлення телефонів особам з інвалідністю І та ІІ груп</t>
  </si>
  <si>
    <t>* субвенція з обласного бюджету на компенсаційні виплати за пільговий проїзд окремих категорій громадян на міжміських внутрішньообласних маршрутах загального користування</t>
  </si>
  <si>
    <t>* субвенція з обласного бюджету для забезпечення витратними матеріалами (кардіовиробами) хворих області в КНП "Вінницький регіональний клінічний лікувально-діагностичний центр серцево-судинної патології"</t>
  </si>
  <si>
    <t>субвенція з бюджету Вороновицької селищної територіальної громади для проведення технічного обстеження на предмет оцінки доступності осіб з інвалідністю та інших маломобільних груп населення до вхідної групи та внутрішніх приміщень будівлі терапевтичного та хірургічного відділень №2, КНП «Вінницька клінічна багатопрофільна лікарня» Вінницької міської ради, яка знаходиться за адресою: Вінницька область, смт Вороновиця, вул. Гагаріна, буд.20</t>
  </si>
  <si>
    <r>
      <t>Субвенція з місцевого бюджету на здійснення переданих видатків у</t>
    </r>
    <r>
      <rPr>
        <sz val="14.5"/>
        <rFont val="Times New Roman Cyr"/>
        <charset val="204"/>
      </rPr>
      <t xml:space="preserve"> сфері охорони злоров'я за рахунок коштів медичної субвенції:</t>
    </r>
  </si>
  <si>
    <t>Субвенція з державного бюджету місцевим бюджетам на реформуваннярегіональних систем охорони здоров’я для здійснення заходів з виконання спільного з Міжнародним банком реконструкції та розвитку проекту «Поліпшення охорони здоров’я на службі у людей»</t>
  </si>
  <si>
    <t>Інші субвенції з місцевого бюджету (на будівництво мережі каналізації на території приватного сектору квартального комітету «Добробут» мікрорайону «Старе місто» в м.Вінниці)</t>
  </si>
  <si>
    <t>Директор департаменту</t>
  </si>
  <si>
    <t>Наталія Луценко</t>
  </si>
  <si>
    <t>% виконання до уточненого плану на 2021р.</t>
  </si>
  <si>
    <t>Аналіз виконання бюджету Вінницької міської територіальної громади по доходах за січень - травень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</si>
</sst>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0.000"/>
    <numFmt numFmtId="166" formatCode="#,##0.000"/>
    <numFmt numFmtId="167" formatCode="#,##0.00000"/>
    <numFmt numFmtId="168" formatCode="#,##0.0"/>
    <numFmt numFmtId="169" formatCode="_-* #,##0.00_р_._-;\-* #,##0.00_р_._-;_-* &quot;-&quot;??_р_._-;_-@_-"/>
  </numFmts>
  <fonts count="53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sz val="16"/>
      <name val="Times New Roman"/>
      <family val="1"/>
      <charset val="204"/>
    </font>
    <font>
      <b/>
      <sz val="24"/>
      <name val="Times New Roman Cyr"/>
      <family val="1"/>
      <charset val="204"/>
    </font>
    <font>
      <b/>
      <sz val="24"/>
      <name val="Times New Roman Cyr"/>
      <charset val="204"/>
    </font>
    <font>
      <sz val="24"/>
      <name val="Times New Roman Cyr"/>
      <charset val="204"/>
    </font>
    <font>
      <sz val="11"/>
      <name val="Times New Roman Cyr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2"/>
      <name val="Times New Roman Cyr"/>
      <charset val="204"/>
    </font>
    <font>
      <b/>
      <sz val="12"/>
      <name val="Times New Roman Cyr"/>
      <family val="1"/>
      <charset val="204"/>
    </font>
    <font>
      <i/>
      <sz val="16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 Cyr"/>
      <charset val="204"/>
    </font>
    <font>
      <b/>
      <i/>
      <sz val="18"/>
      <name val="Times New Roman"/>
      <family val="1"/>
      <charset val="204"/>
    </font>
    <font>
      <b/>
      <sz val="17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5"/>
      <name val="Times New Roman Cyr"/>
      <charset val="204"/>
    </font>
    <font>
      <i/>
      <sz val="14"/>
      <name val="Times New Roman Cyr"/>
      <charset val="204"/>
    </font>
    <font>
      <b/>
      <sz val="19"/>
      <name val="Times New Roman Cyr"/>
      <charset val="204"/>
    </font>
    <font>
      <b/>
      <sz val="19"/>
      <name val="Times New Roman"/>
      <family val="1"/>
      <charset val="204"/>
    </font>
    <font>
      <i/>
      <sz val="18"/>
      <name val="Times New Roman Cyr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  <charset val="204"/>
    </font>
    <font>
      <sz val="14.5"/>
      <name val="Times New Roman"/>
      <family val="1"/>
      <charset val="204"/>
    </font>
    <font>
      <i/>
      <sz val="14.5"/>
      <name val="Times New Roman Cyr"/>
      <charset val="204"/>
    </font>
    <font>
      <sz val="14.5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0" fontId="2" fillId="0" borderId="0"/>
    <xf numFmtId="0" fontId="2" fillId="0" borderId="0"/>
    <xf numFmtId="0" fontId="36" fillId="0" borderId="0"/>
    <xf numFmtId="0" fontId="47" fillId="0" borderId="0"/>
    <xf numFmtId="0" fontId="2" fillId="0" borderId="0"/>
    <xf numFmtId="0" fontId="36" fillId="0" borderId="0"/>
    <xf numFmtId="0" fontId="36" fillId="0" borderId="0"/>
    <xf numFmtId="169" fontId="2" fillId="0" borderId="0" applyFont="0" applyFill="0" applyBorder="0" applyAlignment="0" applyProtection="0"/>
    <xf numFmtId="0" fontId="36" fillId="0" borderId="0"/>
    <xf numFmtId="0" fontId="36" fillId="0" borderId="0"/>
    <xf numFmtId="0" fontId="48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6" fillId="0" borderId="0"/>
    <xf numFmtId="0" fontId="49" fillId="0" borderId="0"/>
    <xf numFmtId="0" fontId="1" fillId="0" borderId="0"/>
    <xf numFmtId="0" fontId="36" fillId="0" borderId="0"/>
    <xf numFmtId="0" fontId="36" fillId="0" borderId="0"/>
    <xf numFmtId="0" fontId="48" fillId="0" borderId="0"/>
  </cellStyleXfs>
  <cellXfs count="262">
    <xf numFmtId="0" fontId="0" fillId="0" borderId="0" xfId="0"/>
    <xf numFmtId="0" fontId="3" fillId="0" borderId="0" xfId="2" applyFont="1" applyFill="1" applyBorder="1" applyAlignment="1">
      <alignment horizontal="center" vertical="center" wrapText="1"/>
    </xf>
    <xf numFmtId="0" fontId="5" fillId="0" borderId="0" xfId="2" applyFont="1" applyFill="1" applyBorder="1"/>
    <xf numFmtId="0" fontId="3" fillId="0" borderId="0" xfId="2" applyFont="1" applyFill="1" applyBorder="1"/>
    <xf numFmtId="0" fontId="8" fillId="0" borderId="0" xfId="2" applyFont="1" applyFill="1" applyBorder="1"/>
    <xf numFmtId="0" fontId="8" fillId="0" borderId="0" xfId="2" applyFont="1" applyFill="1" applyBorder="1" applyAlignment="1">
      <alignment horizontal="center" vertical="center" wrapText="1"/>
    </xf>
    <xf numFmtId="49" fontId="7" fillId="0" borderId="0" xfId="1" applyNumberFormat="1" applyFont="1" applyFill="1" applyBorder="1" applyAlignment="1">
      <alignment horizontal="center" vertical="center"/>
    </xf>
    <xf numFmtId="165" fontId="7" fillId="0" borderId="0" xfId="1" applyNumberFormat="1" applyFont="1" applyFill="1" applyBorder="1" applyAlignment="1">
      <alignment horizontal="center" vertical="center" wrapText="1"/>
    </xf>
    <xf numFmtId="0" fontId="7" fillId="0" borderId="0" xfId="1" applyFont="1" applyFill="1" applyBorder="1"/>
    <xf numFmtId="165" fontId="21" fillId="0" borderId="1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/>
    <xf numFmtId="49" fontId="22" fillId="0" borderId="1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0" fontId="6" fillId="0" borderId="0" xfId="1" applyFont="1" applyFill="1" applyBorder="1"/>
    <xf numFmtId="0" fontId="15" fillId="0" borderId="1" xfId="1" applyFont="1" applyFill="1" applyBorder="1" applyAlignment="1">
      <alignment horizontal="center" vertical="center"/>
    </xf>
    <xf numFmtId="0" fontId="10" fillId="0" borderId="0" xfId="1" applyFont="1" applyFill="1" applyBorder="1"/>
    <xf numFmtId="0" fontId="24" fillId="0" borderId="1" xfId="1" applyFont="1" applyFill="1" applyBorder="1" applyAlignment="1">
      <alignment horizontal="left" vertical="center" wrapText="1"/>
    </xf>
    <xf numFmtId="49" fontId="23" fillId="0" borderId="1" xfId="1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/>
    </xf>
    <xf numFmtId="0" fontId="19" fillId="0" borderId="0" xfId="2" applyFont="1" applyFill="1"/>
    <xf numFmtId="0" fontId="3" fillId="0" borderId="0" xfId="2" applyFont="1" applyFill="1"/>
    <xf numFmtId="0" fontId="19" fillId="0" borderId="0" xfId="2" applyFont="1" applyFill="1" applyBorder="1"/>
    <xf numFmtId="0" fontId="18" fillId="0" borderId="0" xfId="2" applyFont="1" applyFill="1"/>
    <xf numFmtId="0" fontId="4" fillId="0" borderId="0" xfId="2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49" fontId="16" fillId="0" borderId="1" xfId="1" applyNumberFormat="1" applyFont="1" applyFill="1" applyBorder="1" applyAlignment="1">
      <alignment horizontal="center" vertical="center" wrapText="1"/>
    </xf>
    <xf numFmtId="49" fontId="21" fillId="0" borderId="1" xfId="1" applyNumberFormat="1" applyFont="1" applyFill="1" applyBorder="1" applyAlignment="1">
      <alignment horizontal="center" vertical="center" wrapText="1"/>
    </xf>
    <xf numFmtId="0" fontId="27" fillId="0" borderId="0" xfId="1" applyFont="1" applyFill="1" applyBorder="1"/>
    <xf numFmtId="49" fontId="15" fillId="0" borderId="1" xfId="1" applyNumberFormat="1" applyFont="1" applyFill="1" applyBorder="1" applyAlignment="1">
      <alignment horizontal="center" vertical="center"/>
    </xf>
    <xf numFmtId="0" fontId="8" fillId="0" borderId="0" xfId="2" applyFont="1" applyFill="1"/>
    <xf numFmtId="0" fontId="5" fillId="0" borderId="0" xfId="2" applyFont="1" applyFill="1"/>
    <xf numFmtId="0" fontId="20" fillId="0" borderId="0" xfId="2" applyFont="1" applyFill="1"/>
    <xf numFmtId="0" fontId="13" fillId="0" borderId="0" xfId="1" applyFont="1" applyFill="1" applyBorder="1"/>
    <xf numFmtId="0" fontId="3" fillId="2" borderId="0" xfId="2" applyFont="1" applyFill="1" applyBorder="1"/>
    <xf numFmtId="49" fontId="14" fillId="0" borderId="1" xfId="2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0" fontId="28" fillId="0" borderId="0" xfId="1" applyFont="1" applyFill="1" applyBorder="1"/>
    <xf numFmtId="0" fontId="13" fillId="0" borderId="0" xfId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left" vertical="center" wrapText="1"/>
    </xf>
    <xf numFmtId="49" fontId="21" fillId="0" borderId="0" xfId="1" applyNumberFormat="1" applyFont="1" applyFill="1" applyBorder="1" applyAlignment="1">
      <alignment horizontal="center" vertical="center" wrapText="1"/>
    </xf>
    <xf numFmtId="166" fontId="21" fillId="0" borderId="0" xfId="1" applyNumberFormat="1" applyFont="1" applyFill="1" applyBorder="1" applyAlignment="1">
      <alignment horizontal="center" vertical="center" wrapText="1"/>
    </xf>
    <xf numFmtId="0" fontId="13" fillId="0" borderId="7" xfId="1" applyFont="1" applyFill="1" applyBorder="1" applyAlignment="1">
      <alignment vertical="center"/>
    </xf>
    <xf numFmtId="0" fontId="16" fillId="0" borderId="1" xfId="1" applyNumberFormat="1" applyFont="1" applyFill="1" applyBorder="1" applyAlignment="1">
      <alignment horizontal="left" vertical="center" wrapText="1"/>
    </xf>
    <xf numFmtId="0" fontId="29" fillId="0" borderId="1" xfId="1" applyFont="1" applyFill="1" applyBorder="1" applyAlignment="1">
      <alignment horizontal="center" vertical="center"/>
    </xf>
    <xf numFmtId="0" fontId="30" fillId="0" borderId="0" xfId="1" applyFont="1" applyFill="1" applyBorder="1"/>
    <xf numFmtId="166" fontId="5" fillId="0" borderId="0" xfId="1" applyNumberFormat="1" applyFont="1" applyFill="1" applyBorder="1"/>
    <xf numFmtId="49" fontId="26" fillId="0" borderId="1" xfId="1" applyNumberFormat="1" applyFont="1" applyFill="1" applyBorder="1" applyAlignment="1">
      <alignment horizontal="left" vertical="center" wrapText="1"/>
    </xf>
    <xf numFmtId="164" fontId="5" fillId="0" borderId="0" xfId="1" applyNumberFormat="1" applyFont="1" applyFill="1" applyBorder="1"/>
    <xf numFmtId="0" fontId="33" fillId="2" borderId="1" xfId="1" applyFont="1" applyFill="1" applyBorder="1" applyAlignment="1">
      <alignment horizontal="center" vertical="center"/>
    </xf>
    <xf numFmtId="2" fontId="34" fillId="2" borderId="1" xfId="1" applyNumberFormat="1" applyFont="1" applyFill="1" applyBorder="1" applyAlignment="1">
      <alignment horizontal="center" vertical="center" wrapText="1"/>
    </xf>
    <xf numFmtId="166" fontId="34" fillId="2" borderId="1" xfId="1" applyNumberFormat="1" applyFont="1" applyFill="1" applyBorder="1" applyAlignment="1">
      <alignment horizontal="center" vertical="center" wrapText="1"/>
    </xf>
    <xf numFmtId="0" fontId="33" fillId="2" borderId="0" xfId="1" applyFont="1" applyFill="1" applyBorder="1"/>
    <xf numFmtId="0" fontId="34" fillId="2" borderId="1" xfId="1" applyFont="1" applyFill="1" applyBorder="1" applyAlignment="1">
      <alignment horizontal="center" vertical="center" wrapText="1"/>
    </xf>
    <xf numFmtId="0" fontId="35" fillId="2" borderId="1" xfId="1" applyFont="1" applyFill="1" applyBorder="1" applyAlignment="1">
      <alignment horizontal="center" vertical="center"/>
    </xf>
    <xf numFmtId="49" fontId="34" fillId="2" borderId="1" xfId="1" applyNumberFormat="1" applyFont="1" applyFill="1" applyBorder="1" applyAlignment="1">
      <alignment horizontal="center" vertical="center" wrapText="1"/>
    </xf>
    <xf numFmtId="0" fontId="35" fillId="2" borderId="0" xfId="1" applyFont="1" applyFill="1" applyBorder="1"/>
    <xf numFmtId="0" fontId="33" fillId="0" borderId="1" xfId="1" applyFont="1" applyFill="1" applyBorder="1" applyAlignment="1">
      <alignment horizontal="center" vertical="center"/>
    </xf>
    <xf numFmtId="0" fontId="34" fillId="0" borderId="1" xfId="1" applyFont="1" applyFill="1" applyBorder="1" applyAlignment="1">
      <alignment horizontal="left" vertical="center" wrapText="1"/>
    </xf>
    <xf numFmtId="49" fontId="34" fillId="0" borderId="1" xfId="1" applyNumberFormat="1" applyFont="1" applyFill="1" applyBorder="1" applyAlignment="1">
      <alignment horizontal="center" vertical="center" wrapText="1"/>
    </xf>
    <xf numFmtId="166" fontId="34" fillId="0" borderId="1" xfId="1" applyNumberFormat="1" applyFont="1" applyFill="1" applyBorder="1" applyAlignment="1">
      <alignment horizontal="center" vertical="center" wrapText="1"/>
    </xf>
    <xf numFmtId="0" fontId="33" fillId="0" borderId="0" xfId="1" applyFont="1" applyFill="1" applyBorder="1"/>
    <xf numFmtId="0" fontId="34" fillId="0" borderId="1" xfId="1" applyFont="1" applyFill="1" applyBorder="1" applyAlignment="1">
      <alignment horizontal="center" vertical="center" wrapText="1"/>
    </xf>
    <xf numFmtId="0" fontId="33" fillId="0" borderId="1" xfId="1" applyFont="1" applyFill="1" applyBorder="1" applyAlignment="1">
      <alignment vertical="center"/>
    </xf>
    <xf numFmtId="0" fontId="19" fillId="2" borderId="0" xfId="2" applyFont="1" applyFill="1" applyBorder="1"/>
    <xf numFmtId="0" fontId="25" fillId="0" borderId="1" xfId="1" applyFont="1" applyFill="1" applyBorder="1" applyAlignment="1">
      <alignment horizontal="left" vertical="center" wrapText="1"/>
    </xf>
    <xf numFmtId="0" fontId="12" fillId="0" borderId="0" xfId="1" applyFont="1" applyFill="1" applyBorder="1"/>
    <xf numFmtId="166" fontId="13" fillId="0" borderId="0" xfId="1" applyNumberFormat="1" applyFont="1" applyFill="1" applyBorder="1"/>
    <xf numFmtId="0" fontId="15" fillId="0" borderId="0" xfId="1" applyFont="1" applyFill="1" applyBorder="1"/>
    <xf numFmtId="0" fontId="29" fillId="0" borderId="0" xfId="1" applyFont="1" applyFill="1" applyBorder="1"/>
    <xf numFmtId="166" fontId="32" fillId="2" borderId="1" xfId="1" applyNumberFormat="1" applyFont="1" applyFill="1" applyBorder="1" applyAlignment="1">
      <alignment horizontal="center" vertical="center" wrapText="1"/>
    </xf>
    <xf numFmtId="0" fontId="35" fillId="0" borderId="1" xfId="1" applyFont="1" applyFill="1" applyBorder="1" applyAlignment="1">
      <alignment horizontal="center" vertical="center"/>
    </xf>
    <xf numFmtId="0" fontId="35" fillId="0" borderId="0" xfId="1" applyFont="1" applyFill="1" applyBorder="1"/>
    <xf numFmtId="49" fontId="15" fillId="0" borderId="1" xfId="2" applyNumberFormat="1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wrapText="1"/>
    </xf>
    <xf numFmtId="1" fontId="12" fillId="0" borderId="1" xfId="3" applyNumberFormat="1" applyFont="1" applyFill="1" applyBorder="1" applyAlignment="1">
      <alignment horizontal="center" vertical="center" wrapText="1"/>
    </xf>
    <xf numFmtId="1" fontId="16" fillId="0" borderId="1" xfId="3" applyNumberFormat="1" applyFont="1" applyFill="1" applyBorder="1" applyAlignment="1">
      <alignment horizontal="center" vertical="center" wrapText="1"/>
    </xf>
    <xf numFmtId="1" fontId="16" fillId="2" borderId="1" xfId="3" applyNumberFormat="1" applyFont="1" applyFill="1" applyBorder="1" applyAlignment="1">
      <alignment horizontal="center" vertical="center" wrapText="1"/>
    </xf>
    <xf numFmtId="1" fontId="3" fillId="0" borderId="0" xfId="3" applyNumberFormat="1" applyFont="1" applyFill="1" applyBorder="1" applyAlignment="1">
      <alignment horizontal="center" vertical="center" wrapText="1"/>
    </xf>
    <xf numFmtId="1" fontId="3" fillId="0" borderId="0" xfId="3" applyNumberFormat="1" applyFont="1" applyFill="1" applyBorder="1"/>
    <xf numFmtId="49" fontId="12" fillId="0" borderId="1" xfId="3" applyNumberFormat="1" applyFont="1" applyFill="1" applyBorder="1" applyAlignment="1">
      <alignment vertical="top" wrapText="1"/>
    </xf>
    <xf numFmtId="0" fontId="3" fillId="0" borderId="0" xfId="3" applyFont="1" applyFill="1" applyBorder="1"/>
    <xf numFmtId="0" fontId="12" fillId="0" borderId="1" xfId="3" applyFont="1" applyFill="1" applyBorder="1" applyAlignment="1">
      <alignment horizontal="center" vertical="center"/>
    </xf>
    <xf numFmtId="49" fontId="16" fillId="0" borderId="1" xfId="3" applyNumberFormat="1" applyFont="1" applyFill="1" applyBorder="1" applyAlignment="1">
      <alignment horizontal="center" vertical="center" wrapText="1"/>
    </xf>
    <xf numFmtId="166" fontId="5" fillId="0" borderId="0" xfId="3" applyNumberFormat="1" applyFont="1" applyFill="1" applyBorder="1"/>
    <xf numFmtId="164" fontId="5" fillId="0" borderId="0" xfId="3" applyNumberFormat="1" applyFont="1" applyFill="1" applyBorder="1"/>
    <xf numFmtId="0" fontId="5" fillId="0" borderId="0" xfId="3" applyFont="1" applyFill="1" applyBorder="1"/>
    <xf numFmtId="0" fontId="29" fillId="0" borderId="1" xfId="3" applyFont="1" applyFill="1" applyBorder="1" applyAlignment="1">
      <alignment horizontal="center" vertical="center"/>
    </xf>
    <xf numFmtId="166" fontId="30" fillId="0" borderId="0" xfId="3" applyNumberFormat="1" applyFont="1" applyFill="1" applyBorder="1"/>
    <xf numFmtId="164" fontId="30" fillId="0" borderId="0" xfId="3" applyNumberFormat="1" applyFont="1" applyFill="1" applyBorder="1"/>
    <xf numFmtId="0" fontId="30" fillId="0" borderId="0" xfId="3" applyFont="1" applyFill="1" applyBorder="1"/>
    <xf numFmtId="0" fontId="25" fillId="0" borderId="1" xfId="3" applyFont="1" applyFill="1" applyBorder="1" applyAlignment="1">
      <alignment horizontal="left" vertical="center" wrapText="1"/>
    </xf>
    <xf numFmtId="0" fontId="33" fillId="2" borderId="1" xfId="3" applyFont="1" applyFill="1" applyBorder="1" applyAlignment="1">
      <alignment horizontal="center" vertical="center"/>
    </xf>
    <xf numFmtId="0" fontId="34" fillId="2" borderId="1" xfId="3" applyFont="1" applyFill="1" applyBorder="1" applyAlignment="1">
      <alignment horizontal="center" vertical="center" wrapText="1"/>
    </xf>
    <xf numFmtId="166" fontId="34" fillId="2" borderId="1" xfId="3" applyNumberFormat="1" applyFont="1" applyFill="1" applyBorder="1" applyAlignment="1">
      <alignment horizontal="center" vertical="center" wrapText="1"/>
    </xf>
    <xf numFmtId="166" fontId="34" fillId="2" borderId="1" xfId="3" applyNumberFormat="1" applyFont="1" applyFill="1" applyBorder="1" applyAlignment="1">
      <alignment horizontal="center" vertical="center"/>
    </xf>
    <xf numFmtId="164" fontId="34" fillId="2" borderId="1" xfId="3" applyNumberFormat="1" applyFont="1" applyFill="1" applyBorder="1" applyAlignment="1">
      <alignment horizontal="center" vertical="center"/>
    </xf>
    <xf numFmtId="0" fontId="33" fillId="2" borderId="0" xfId="3" applyFont="1" applyFill="1" applyBorder="1"/>
    <xf numFmtId="166" fontId="33" fillId="2" borderId="0" xfId="3" applyNumberFormat="1" applyFont="1" applyFill="1" applyBorder="1"/>
    <xf numFmtId="0" fontId="34" fillId="0" borderId="1" xfId="3" applyFont="1" applyFill="1" applyBorder="1" applyAlignment="1">
      <alignment horizontal="center" vertical="center" wrapText="1"/>
    </xf>
    <xf numFmtId="166" fontId="34" fillId="0" borderId="1" xfId="3" applyNumberFormat="1" applyFont="1" applyFill="1" applyBorder="1" applyAlignment="1">
      <alignment horizontal="center" vertical="center"/>
    </xf>
    <xf numFmtId="164" fontId="34" fillId="0" borderId="1" xfId="3" applyNumberFormat="1" applyFont="1" applyFill="1" applyBorder="1" applyAlignment="1">
      <alignment horizontal="center" vertical="center"/>
    </xf>
    <xf numFmtId="0" fontId="32" fillId="0" borderId="1" xfId="3" applyFont="1" applyFill="1" applyBorder="1" applyAlignment="1">
      <alignment horizontal="left" vertical="center" wrapText="1"/>
    </xf>
    <xf numFmtId="166" fontId="21" fillId="0" borderId="0" xfId="3" applyNumberFormat="1" applyFont="1" applyFill="1" applyBorder="1" applyAlignment="1">
      <alignment horizontal="center" vertical="center"/>
    </xf>
    <xf numFmtId="164" fontId="21" fillId="0" borderId="0" xfId="3" applyNumberFormat="1" applyFont="1" applyFill="1" applyBorder="1" applyAlignment="1">
      <alignment horizontal="center" vertical="center"/>
    </xf>
    <xf numFmtId="165" fontId="7" fillId="0" borderId="0" xfId="3" applyNumberFormat="1" applyFont="1" applyFill="1" applyBorder="1" applyAlignment="1">
      <alignment horizontal="center" vertical="center"/>
    </xf>
    <xf numFmtId="164" fontId="7" fillId="0" borderId="0" xfId="3" applyNumberFormat="1" applyFont="1" applyFill="1" applyBorder="1" applyAlignment="1">
      <alignment horizontal="center" vertical="center"/>
    </xf>
    <xf numFmtId="166" fontId="4" fillId="0" borderId="0" xfId="2" applyNumberFormat="1" applyFont="1" applyFill="1" applyBorder="1" applyAlignment="1">
      <alignment horizontal="center"/>
    </xf>
    <xf numFmtId="49" fontId="37" fillId="0" borderId="1" xfId="2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166" fontId="21" fillId="2" borderId="0" xfId="1" applyNumberFormat="1" applyFont="1" applyFill="1" applyBorder="1" applyAlignment="1">
      <alignment horizontal="center" vertical="center" wrapText="1"/>
    </xf>
    <xf numFmtId="0" fontId="26" fillId="0" borderId="1" xfId="1" applyFont="1" applyFill="1" applyBorder="1" applyAlignment="1">
      <alignment horizontal="left" vertical="center" wrapText="1"/>
    </xf>
    <xf numFmtId="167" fontId="32" fillId="0" borderId="0" xfId="3" applyNumberFormat="1" applyFont="1" applyFill="1"/>
    <xf numFmtId="166" fontId="38" fillId="0" borderId="1" xfId="3" applyNumberFormat="1" applyFont="1" applyFill="1" applyBorder="1" applyAlignment="1">
      <alignment horizontal="center" vertical="center" wrapText="1"/>
    </xf>
    <xf numFmtId="0" fontId="37" fillId="0" borderId="1" xfId="2" applyFont="1" applyFill="1" applyBorder="1" applyAlignment="1">
      <alignment horizontal="left" vertical="center" wrapText="1"/>
    </xf>
    <xf numFmtId="0" fontId="27" fillId="0" borderId="0" xfId="3" applyFont="1" applyFill="1" applyBorder="1"/>
    <xf numFmtId="14" fontId="29" fillId="0" borderId="1" xfId="3" applyNumberFormat="1" applyFont="1" applyFill="1" applyBorder="1" applyAlignment="1">
      <alignment horizontal="center" vertical="center"/>
    </xf>
    <xf numFmtId="0" fontId="7" fillId="0" borderId="0" xfId="3" applyFont="1" applyFill="1" applyBorder="1"/>
    <xf numFmtId="166" fontId="7" fillId="0" borderId="0" xfId="3" applyNumberFormat="1" applyFont="1" applyFill="1" applyBorder="1"/>
    <xf numFmtId="164" fontId="7" fillId="0" borderId="0" xfId="3" applyNumberFormat="1" applyFont="1" applyFill="1" applyBorder="1"/>
    <xf numFmtId="49" fontId="23" fillId="0" borderId="1" xfId="3" applyNumberFormat="1" applyFont="1" applyFill="1" applyBorder="1" applyAlignment="1">
      <alignment horizontal="center" vertical="center" shrinkToFit="1"/>
    </xf>
    <xf numFmtId="0" fontId="7" fillId="0" borderId="0" xfId="3" applyFont="1" applyFill="1" applyBorder="1" applyAlignment="1">
      <alignment horizontal="center"/>
    </xf>
    <xf numFmtId="166" fontId="32" fillId="0" borderId="1" xfId="1" applyNumberFormat="1" applyFont="1" applyFill="1" applyBorder="1" applyAlignment="1">
      <alignment horizontal="center" vertical="center" wrapText="1"/>
    </xf>
    <xf numFmtId="166" fontId="32" fillId="0" borderId="0" xfId="1" applyNumberFormat="1" applyFont="1" applyFill="1" applyBorder="1" applyAlignment="1">
      <alignment horizontal="center" vertical="center" wrapText="1"/>
    </xf>
    <xf numFmtId="166" fontId="3" fillId="0" borderId="0" xfId="2" applyNumberFormat="1" applyFont="1" applyFill="1" applyBorder="1"/>
    <xf numFmtId="0" fontId="39" fillId="0" borderId="1" xfId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left" vertical="center" wrapText="1"/>
    </xf>
    <xf numFmtId="167" fontId="32" fillId="2" borderId="0" xfId="3" applyNumberFormat="1" applyFont="1" applyFill="1"/>
    <xf numFmtId="166" fontId="40" fillId="0" borderId="1" xfId="3" applyNumberFormat="1" applyFont="1" applyFill="1" applyBorder="1" applyAlignment="1">
      <alignment horizontal="center" vertical="center" wrapText="1"/>
    </xf>
    <xf numFmtId="166" fontId="40" fillId="2" borderId="1" xfId="3" applyNumberFormat="1" applyFont="1" applyFill="1" applyBorder="1" applyAlignment="1">
      <alignment horizontal="center" vertical="center" wrapText="1"/>
    </xf>
    <xf numFmtId="166" fontId="40" fillId="0" borderId="1" xfId="0" applyNumberFormat="1" applyFont="1" applyFill="1" applyBorder="1" applyAlignment="1">
      <alignment horizontal="center" vertical="center" wrapText="1"/>
    </xf>
    <xf numFmtId="166" fontId="40" fillId="0" borderId="1" xfId="3" applyNumberFormat="1" applyFont="1" applyFill="1" applyBorder="1" applyAlignment="1">
      <alignment horizontal="center" vertical="center"/>
    </xf>
    <xf numFmtId="164" fontId="40" fillId="0" borderId="1" xfId="3" applyNumberFormat="1" applyFont="1" applyFill="1" applyBorder="1" applyAlignment="1">
      <alignment horizontal="center" vertical="center"/>
    </xf>
    <xf numFmtId="166" fontId="41" fillId="0" borderId="1" xfId="3" applyNumberFormat="1" applyFont="1" applyFill="1" applyBorder="1" applyAlignment="1">
      <alignment horizontal="center" vertical="center" wrapText="1"/>
    </xf>
    <xf numFmtId="166" fontId="41" fillId="2" borderId="1" xfId="3" applyNumberFormat="1" applyFont="1" applyFill="1" applyBorder="1" applyAlignment="1">
      <alignment horizontal="center" vertical="center" wrapText="1"/>
    </xf>
    <xf numFmtId="166" fontId="41" fillId="0" borderId="1" xfId="0" applyNumberFormat="1" applyFont="1" applyFill="1" applyBorder="1" applyAlignment="1">
      <alignment horizontal="center" vertical="center" wrapText="1"/>
    </xf>
    <xf numFmtId="166" fontId="41" fillId="0" borderId="1" xfId="3" applyNumberFormat="1" applyFont="1" applyFill="1" applyBorder="1" applyAlignment="1">
      <alignment horizontal="center" vertical="center"/>
    </xf>
    <xf numFmtId="164" fontId="41" fillId="0" borderId="1" xfId="3" applyNumberFormat="1" applyFont="1" applyFill="1" applyBorder="1" applyAlignment="1">
      <alignment horizontal="center" vertical="center"/>
    </xf>
    <xf numFmtId="166" fontId="40" fillId="0" borderId="1" xfId="1" applyNumberFormat="1" applyFont="1" applyFill="1" applyBorder="1" applyAlignment="1">
      <alignment horizontal="center" vertical="center" wrapText="1"/>
    </xf>
    <xf numFmtId="166" fontId="41" fillId="0" borderId="1" xfId="1" applyNumberFormat="1" applyFont="1" applyFill="1" applyBorder="1" applyAlignment="1">
      <alignment horizontal="center" vertical="center" wrapText="1"/>
    </xf>
    <xf numFmtId="49" fontId="38" fillId="0" borderId="1" xfId="1" applyNumberFormat="1" applyFont="1" applyFill="1" applyBorder="1" applyAlignment="1">
      <alignment horizontal="center" vertical="center" wrapText="1"/>
    </xf>
    <xf numFmtId="49" fontId="38" fillId="2" borderId="1" xfId="1" applyNumberFormat="1" applyFont="1" applyFill="1" applyBorder="1" applyAlignment="1">
      <alignment horizontal="center" vertical="center" wrapText="1"/>
    </xf>
    <xf numFmtId="166" fontId="41" fillId="2" borderId="1" xfId="1" applyNumberFormat="1" applyFont="1" applyFill="1" applyBorder="1" applyAlignment="1">
      <alignment horizontal="center" vertical="center" wrapText="1"/>
    </xf>
    <xf numFmtId="166" fontId="40" fillId="2" borderId="1" xfId="1" applyNumberFormat="1" applyFont="1" applyFill="1" applyBorder="1" applyAlignment="1">
      <alignment horizontal="center" vertical="center" wrapText="1"/>
    </xf>
    <xf numFmtId="168" fontId="40" fillId="0" borderId="1" xfId="1" applyNumberFormat="1" applyFont="1" applyFill="1" applyBorder="1" applyAlignment="1">
      <alignment horizontal="center" vertical="center" wrapText="1"/>
    </xf>
    <xf numFmtId="167" fontId="40" fillId="2" borderId="1" xfId="1" applyNumberFormat="1" applyFont="1" applyFill="1" applyBorder="1" applyAlignment="1">
      <alignment horizontal="center" vertical="center" wrapText="1"/>
    </xf>
    <xf numFmtId="167" fontId="40" fillId="0" borderId="1" xfId="1" applyNumberFormat="1" applyFont="1" applyFill="1" applyBorder="1" applyAlignment="1">
      <alignment horizontal="center" vertical="center" wrapText="1"/>
    </xf>
    <xf numFmtId="49" fontId="26" fillId="0" borderId="1" xfId="3" applyNumberFormat="1" applyFont="1" applyFill="1" applyBorder="1" applyAlignment="1">
      <alignment horizontal="left" vertical="center" wrapText="1"/>
    </xf>
    <xf numFmtId="49" fontId="42" fillId="0" borderId="1" xfId="2" applyNumberFormat="1" applyFont="1" applyFill="1" applyBorder="1" applyAlignment="1">
      <alignment horizontal="left" vertical="center" wrapText="1"/>
    </xf>
    <xf numFmtId="0" fontId="42" fillId="0" borderId="1" xfId="2" applyNumberFormat="1" applyFont="1" applyFill="1" applyBorder="1" applyAlignment="1">
      <alignment horizontal="left" vertical="center" wrapText="1"/>
    </xf>
    <xf numFmtId="0" fontId="25" fillId="0" borderId="1" xfId="2" applyFont="1" applyFill="1" applyBorder="1" applyAlignment="1">
      <alignment vertical="top" wrapText="1"/>
    </xf>
    <xf numFmtId="166" fontId="19" fillId="0" borderId="0" xfId="2" applyNumberFormat="1" applyFont="1" applyFill="1"/>
    <xf numFmtId="166" fontId="34" fillId="0" borderId="0" xfId="1" applyNumberFormat="1" applyFont="1" applyFill="1" applyBorder="1" applyAlignment="1">
      <alignment horizontal="center" vertical="center" wrapText="1"/>
    </xf>
    <xf numFmtId="0" fontId="31" fillId="0" borderId="0" xfId="3" applyFont="1" applyFill="1" applyBorder="1"/>
    <xf numFmtId="166" fontId="32" fillId="2" borderId="0" xfId="1" applyNumberFormat="1" applyFont="1" applyFill="1" applyBorder="1" applyAlignment="1">
      <alignment horizontal="center" vertical="center" wrapText="1"/>
    </xf>
    <xf numFmtId="0" fontId="31" fillId="0" borderId="0" xfId="0" applyFont="1" applyBorder="1"/>
    <xf numFmtId="49" fontId="23" fillId="0" borderId="1" xfId="3" applyNumberFormat="1" applyFont="1" applyFill="1" applyBorder="1" applyAlignment="1">
      <alignment horizontal="center" vertical="center" wrapText="1"/>
    </xf>
    <xf numFmtId="49" fontId="12" fillId="0" borderId="1" xfId="3" applyNumberFormat="1" applyFont="1" applyFill="1" applyBorder="1" applyAlignment="1">
      <alignment horizontal="center" vertical="center" wrapText="1" shrinkToFit="1"/>
    </xf>
    <xf numFmtId="0" fontId="43" fillId="0" borderId="1" xfId="3" applyNumberFormat="1" applyFont="1" applyFill="1" applyBorder="1" applyAlignment="1">
      <alignment horizontal="left" vertical="center" wrapText="1" shrinkToFit="1"/>
    </xf>
    <xf numFmtId="0" fontId="5" fillId="0" borderId="0" xfId="2" applyFont="1" applyFill="1" applyBorder="1" applyAlignment="1">
      <alignment horizontal="center" vertical="center" wrapText="1"/>
    </xf>
    <xf numFmtId="0" fontId="32" fillId="0" borderId="1" xfId="3" applyFont="1" applyFill="1" applyBorder="1" applyAlignment="1">
      <alignment horizontal="center" vertical="center" wrapText="1"/>
    </xf>
    <xf numFmtId="166" fontId="27" fillId="0" borderId="0" xfId="3" applyNumberFormat="1" applyFont="1" applyFill="1" applyBorder="1"/>
    <xf numFmtId="0" fontId="44" fillId="2" borderId="1" xfId="1" applyFont="1" applyFill="1" applyBorder="1" applyAlignment="1">
      <alignment horizontal="center" vertical="center"/>
    </xf>
    <xf numFmtId="0" fontId="45" fillId="2" borderId="1" xfId="1" applyFont="1" applyFill="1" applyBorder="1" applyAlignment="1">
      <alignment horizontal="center" vertical="center" wrapText="1"/>
    </xf>
    <xf numFmtId="165" fontId="45" fillId="2" borderId="1" xfId="1" applyNumberFormat="1" applyFont="1" applyFill="1" applyBorder="1" applyAlignment="1">
      <alignment horizontal="center" vertical="center" wrapText="1"/>
    </xf>
    <xf numFmtId="166" fontId="45" fillId="2" borderId="1" xfId="1" applyNumberFormat="1" applyFont="1" applyFill="1" applyBorder="1" applyAlignment="1">
      <alignment horizontal="center" vertical="center" wrapText="1"/>
    </xf>
    <xf numFmtId="166" fontId="45" fillId="2" borderId="1" xfId="3" applyNumberFormat="1" applyFont="1" applyFill="1" applyBorder="1" applyAlignment="1">
      <alignment horizontal="center" vertical="center"/>
    </xf>
    <xf numFmtId="164" fontId="45" fillId="2" borderId="1" xfId="3" applyNumberFormat="1" applyFont="1" applyFill="1" applyBorder="1" applyAlignment="1">
      <alignment horizontal="center" vertical="center"/>
    </xf>
    <xf numFmtId="166" fontId="44" fillId="2" borderId="0" xfId="1" applyNumberFormat="1" applyFont="1" applyFill="1" applyBorder="1"/>
    <xf numFmtId="0" fontId="44" fillId="2" borderId="0" xfId="1" applyFont="1" applyFill="1" applyBorder="1"/>
    <xf numFmtId="49" fontId="45" fillId="2" borderId="1" xfId="1" applyNumberFormat="1" applyFont="1" applyFill="1" applyBorder="1" applyAlignment="1">
      <alignment horizontal="center" vertical="center" wrapText="1"/>
    </xf>
    <xf numFmtId="0" fontId="44" fillId="0" borderId="1" xfId="1" applyFont="1" applyFill="1" applyBorder="1" applyAlignment="1">
      <alignment horizontal="center" vertical="center"/>
    </xf>
    <xf numFmtId="0" fontId="45" fillId="0" borderId="1" xfId="1" applyFont="1" applyFill="1" applyBorder="1" applyAlignment="1">
      <alignment horizontal="center" vertical="center" wrapText="1"/>
    </xf>
    <xf numFmtId="49" fontId="45" fillId="0" borderId="1" xfId="1" applyNumberFormat="1" applyFont="1" applyFill="1" applyBorder="1" applyAlignment="1">
      <alignment horizontal="center" vertical="center" wrapText="1"/>
    </xf>
    <xf numFmtId="166" fontId="45" fillId="0" borderId="1" xfId="1" applyNumberFormat="1" applyFont="1" applyFill="1" applyBorder="1" applyAlignment="1">
      <alignment horizontal="center" vertical="center" wrapText="1"/>
    </xf>
    <xf numFmtId="166" fontId="45" fillId="0" borderId="1" xfId="3" applyNumberFormat="1" applyFont="1" applyFill="1" applyBorder="1" applyAlignment="1">
      <alignment horizontal="center" vertical="center"/>
    </xf>
    <xf numFmtId="164" fontId="45" fillId="0" borderId="1" xfId="3" applyNumberFormat="1" applyFont="1" applyFill="1" applyBorder="1" applyAlignment="1">
      <alignment horizontal="center" vertical="center"/>
    </xf>
    <xf numFmtId="0" fontId="44" fillId="0" borderId="0" xfId="1" applyFont="1" applyFill="1" applyBorder="1"/>
    <xf numFmtId="0" fontId="44" fillId="2" borderId="1" xfId="1" applyFont="1" applyFill="1" applyBorder="1" applyAlignment="1">
      <alignment vertical="center"/>
    </xf>
    <xf numFmtId="0" fontId="44" fillId="0" borderId="1" xfId="1" applyFont="1" applyFill="1" applyBorder="1" applyAlignment="1">
      <alignment vertical="center"/>
    </xf>
    <xf numFmtId="0" fontId="45" fillId="0" borderId="1" xfId="1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center" vertical="center" wrapText="1"/>
    </xf>
    <xf numFmtId="166" fontId="21" fillId="0" borderId="1" xfId="1" applyNumberFormat="1" applyFont="1" applyFill="1" applyBorder="1" applyAlignment="1">
      <alignment horizontal="center" vertical="center" wrapText="1"/>
    </xf>
    <xf numFmtId="166" fontId="21" fillId="2" borderId="1" xfId="1" applyNumberFormat="1" applyFont="1" applyFill="1" applyBorder="1" applyAlignment="1">
      <alignment horizontal="center" vertical="center" wrapText="1"/>
    </xf>
    <xf numFmtId="166" fontId="21" fillId="0" borderId="1" xfId="3" applyNumberFormat="1" applyFont="1" applyFill="1" applyBorder="1" applyAlignment="1">
      <alignment horizontal="center" vertical="center"/>
    </xf>
    <xf numFmtId="164" fontId="21" fillId="0" borderId="1" xfId="3" applyNumberFormat="1" applyFont="1" applyFill="1" applyBorder="1" applyAlignment="1">
      <alignment horizontal="center" vertical="center"/>
    </xf>
    <xf numFmtId="49" fontId="33" fillId="0" borderId="1" xfId="1" applyNumberFormat="1" applyFont="1" applyFill="1" applyBorder="1" applyAlignment="1">
      <alignment horizontal="center" vertical="center"/>
    </xf>
    <xf numFmtId="49" fontId="46" fillId="0" borderId="1" xfId="1" applyNumberFormat="1" applyFont="1" applyFill="1" applyBorder="1" applyAlignment="1">
      <alignment horizontal="center" vertical="center"/>
    </xf>
    <xf numFmtId="49" fontId="41" fillId="0" borderId="1" xfId="1" applyNumberFormat="1" applyFont="1" applyFill="1" applyBorder="1" applyAlignment="1">
      <alignment horizontal="center" vertical="center" wrapText="1"/>
    </xf>
    <xf numFmtId="0" fontId="46" fillId="0" borderId="0" xfId="1" applyFont="1" applyFill="1" applyBorder="1"/>
    <xf numFmtId="49" fontId="42" fillId="0" borderId="1" xfId="3" applyNumberFormat="1" applyFont="1" applyFill="1" applyBorder="1" applyAlignment="1">
      <alignment horizontal="left" vertical="center" wrapText="1"/>
    </xf>
    <xf numFmtId="0" fontId="26" fillId="0" borderId="1" xfId="3" applyFont="1" applyFill="1" applyBorder="1" applyAlignment="1">
      <alignment horizontal="left" vertical="center" wrapText="1"/>
    </xf>
    <xf numFmtId="0" fontId="22" fillId="0" borderId="1" xfId="1" applyFont="1" applyFill="1" applyBorder="1" applyAlignment="1">
      <alignment horizontal="center" vertical="center" wrapText="1"/>
    </xf>
    <xf numFmtId="49" fontId="26" fillId="0" borderId="1" xfId="1" applyNumberFormat="1" applyFont="1" applyFill="1" applyBorder="1" applyAlignment="1">
      <alignment horizontal="center" vertical="center" wrapText="1"/>
    </xf>
    <xf numFmtId="164" fontId="27" fillId="0" borderId="0" xfId="3" applyNumberFormat="1" applyFont="1" applyFill="1" applyBorder="1"/>
    <xf numFmtId="0" fontId="12" fillId="0" borderId="1" xfId="1" applyFont="1" applyFill="1" applyBorder="1" applyAlignment="1">
      <alignment horizontal="center" vertical="center"/>
    </xf>
    <xf numFmtId="49" fontId="16" fillId="0" borderId="1" xfId="1" applyNumberFormat="1" applyFont="1" applyFill="1" applyBorder="1" applyAlignment="1">
      <alignment horizontal="center" vertical="center" wrapText="1"/>
    </xf>
    <xf numFmtId="0" fontId="27" fillId="0" borderId="0" xfId="1" applyFont="1" applyFill="1" applyBorder="1"/>
    <xf numFmtId="0" fontId="29" fillId="0" borderId="1" xfId="1" applyFont="1" applyFill="1" applyBorder="1" applyAlignment="1">
      <alignment horizontal="center" vertical="center"/>
    </xf>
    <xf numFmtId="164" fontId="40" fillId="0" borderId="1" xfId="3" applyNumberFormat="1" applyFont="1" applyFill="1" applyBorder="1" applyAlignment="1">
      <alignment horizontal="center" vertical="center"/>
    </xf>
    <xf numFmtId="166" fontId="41" fillId="2" borderId="1" xfId="3" applyNumberFormat="1" applyFont="1" applyFill="1" applyBorder="1" applyAlignment="1">
      <alignment horizontal="center" vertical="center" wrapText="1"/>
    </xf>
    <xf numFmtId="166" fontId="40" fillId="0" borderId="1" xfId="1" applyNumberFormat="1" applyFont="1" applyFill="1" applyBorder="1" applyAlignment="1">
      <alignment horizontal="center" vertical="center" wrapText="1"/>
    </xf>
    <xf numFmtId="166" fontId="40" fillId="2" borderId="1" xfId="1" applyNumberFormat="1" applyFont="1" applyFill="1" applyBorder="1" applyAlignment="1">
      <alignment horizontal="center" vertical="center" wrapText="1"/>
    </xf>
    <xf numFmtId="168" fontId="40" fillId="0" borderId="1" xfId="1" applyNumberFormat="1" applyFont="1" applyFill="1" applyBorder="1" applyAlignment="1">
      <alignment horizontal="center" vertical="center" wrapText="1"/>
    </xf>
    <xf numFmtId="0" fontId="18" fillId="0" borderId="0" xfId="2" applyFont="1" applyFill="1"/>
    <xf numFmtId="166" fontId="34" fillId="2" borderId="1" xfId="1" applyNumberFormat="1" applyFont="1" applyFill="1" applyBorder="1" applyAlignment="1">
      <alignment horizontal="center" vertical="center" wrapText="1"/>
    </xf>
    <xf numFmtId="166" fontId="34" fillId="0" borderId="1" xfId="1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left" vertical="center" wrapText="1"/>
    </xf>
    <xf numFmtId="166" fontId="32" fillId="2" borderId="1" xfId="1" applyNumberFormat="1" applyFont="1" applyFill="1" applyBorder="1" applyAlignment="1">
      <alignment horizontal="center" vertical="center" wrapText="1"/>
    </xf>
    <xf numFmtId="1" fontId="16" fillId="0" borderId="1" xfId="3" applyNumberFormat="1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/>
    </xf>
    <xf numFmtId="49" fontId="16" fillId="0" borderId="1" xfId="3" applyNumberFormat="1" applyFont="1" applyFill="1" applyBorder="1" applyAlignment="1">
      <alignment horizontal="center" vertical="center" wrapText="1"/>
    </xf>
    <xf numFmtId="0" fontId="5" fillId="0" borderId="0" xfId="3" applyFont="1" applyFill="1" applyBorder="1"/>
    <xf numFmtId="166" fontId="34" fillId="2" borderId="1" xfId="3" applyNumberFormat="1" applyFont="1" applyFill="1" applyBorder="1" applyAlignment="1">
      <alignment horizontal="center" vertical="center" wrapText="1"/>
    </xf>
    <xf numFmtId="167" fontId="32" fillId="0" borderId="0" xfId="3" applyNumberFormat="1" applyFont="1" applyFill="1"/>
    <xf numFmtId="166" fontId="32" fillId="0" borderId="1" xfId="1" applyNumberFormat="1" applyFont="1" applyFill="1" applyBorder="1" applyAlignment="1">
      <alignment horizontal="center" vertical="center" wrapText="1"/>
    </xf>
    <xf numFmtId="166" fontId="40" fillId="0" borderId="1" xfId="3" applyNumberFormat="1" applyFont="1" applyFill="1" applyBorder="1" applyAlignment="1">
      <alignment horizontal="center" vertical="center" wrapText="1"/>
    </xf>
    <xf numFmtId="166" fontId="40" fillId="2" borderId="1" xfId="3" applyNumberFormat="1" applyFont="1" applyFill="1" applyBorder="1" applyAlignment="1">
      <alignment horizontal="center" vertical="center" wrapText="1"/>
    </xf>
    <xf numFmtId="166" fontId="40" fillId="0" borderId="1" xfId="0" applyNumberFormat="1" applyFont="1" applyFill="1" applyBorder="1" applyAlignment="1">
      <alignment horizontal="center" vertical="center" wrapText="1"/>
    </xf>
    <xf numFmtId="166" fontId="40" fillId="0" borderId="1" xfId="3" applyNumberFormat="1" applyFont="1" applyFill="1" applyBorder="1" applyAlignment="1">
      <alignment horizontal="center" vertical="center"/>
    </xf>
    <xf numFmtId="164" fontId="40" fillId="0" borderId="1" xfId="3" applyNumberFormat="1" applyFont="1" applyFill="1" applyBorder="1" applyAlignment="1">
      <alignment horizontal="center" vertical="center"/>
    </xf>
    <xf numFmtId="166" fontId="41" fillId="0" borderId="1" xfId="3" applyNumberFormat="1" applyFont="1" applyFill="1" applyBorder="1" applyAlignment="1">
      <alignment horizontal="center" vertical="center" wrapText="1"/>
    </xf>
    <xf numFmtId="164" fontId="41" fillId="0" borderId="1" xfId="3" applyNumberFormat="1" applyFont="1" applyFill="1" applyBorder="1" applyAlignment="1">
      <alignment horizontal="center" vertical="center"/>
    </xf>
    <xf numFmtId="166" fontId="40" fillId="0" borderId="1" xfId="1" applyNumberFormat="1" applyFont="1" applyFill="1" applyBorder="1" applyAlignment="1">
      <alignment horizontal="center" vertical="center" wrapText="1"/>
    </xf>
    <xf numFmtId="166" fontId="41" fillId="0" borderId="1" xfId="1" applyNumberFormat="1" applyFont="1" applyFill="1" applyBorder="1" applyAlignment="1">
      <alignment horizontal="center" vertical="center" wrapText="1"/>
    </xf>
    <xf numFmtId="49" fontId="38" fillId="0" borderId="1" xfId="1" applyNumberFormat="1" applyFont="1" applyFill="1" applyBorder="1" applyAlignment="1">
      <alignment horizontal="center" vertical="center" wrapText="1"/>
    </xf>
    <xf numFmtId="166" fontId="40" fillId="2" borderId="1" xfId="1" applyNumberFormat="1" applyFont="1" applyFill="1" applyBorder="1" applyAlignment="1">
      <alignment horizontal="center" vertical="center" wrapText="1"/>
    </xf>
    <xf numFmtId="167" fontId="40" fillId="0" borderId="1" xfId="1" applyNumberFormat="1" applyFont="1" applyFill="1" applyBorder="1" applyAlignment="1">
      <alignment horizontal="center" vertical="center" wrapText="1"/>
    </xf>
    <xf numFmtId="49" fontId="25" fillId="0" borderId="1" xfId="3" applyNumberFormat="1" applyFont="1" applyFill="1" applyBorder="1" applyAlignment="1">
      <alignment horizontal="left" vertical="center" wrapText="1"/>
    </xf>
    <xf numFmtId="0" fontId="3" fillId="0" borderId="0" xfId="2" applyFont="1" applyFill="1" applyBorder="1"/>
    <xf numFmtId="0" fontId="4" fillId="0" borderId="0" xfId="2" applyFont="1" applyFill="1" applyBorder="1" applyAlignment="1">
      <alignment horizontal="center"/>
    </xf>
    <xf numFmtId="166" fontId="21" fillId="0" borderId="1" xfId="1" applyNumberFormat="1" applyFont="1" applyFill="1" applyBorder="1" applyAlignment="1">
      <alignment horizontal="center" vertical="center" wrapText="1"/>
    </xf>
    <xf numFmtId="166" fontId="21" fillId="0" borderId="0" xfId="1" applyNumberFormat="1" applyFont="1" applyFill="1" applyBorder="1" applyAlignment="1">
      <alignment horizontal="center" vertical="center" wrapText="1"/>
    </xf>
    <xf numFmtId="0" fontId="19" fillId="0" borderId="0" xfId="2" applyFont="1" applyFill="1" applyBorder="1"/>
    <xf numFmtId="0" fontId="5" fillId="0" borderId="0" xfId="2" applyFont="1" applyFill="1" applyBorder="1"/>
    <xf numFmtId="0" fontId="50" fillId="0" borderId="1" xfId="1" applyFont="1" applyFill="1" applyBorder="1" applyAlignment="1">
      <alignment horizontal="left" vertical="center" wrapText="1"/>
    </xf>
    <xf numFmtId="0" fontId="50" fillId="0" borderId="1" xfId="3" applyNumberFormat="1" applyFont="1" applyFill="1" applyBorder="1" applyAlignment="1">
      <alignment horizontal="justify" vertical="center" wrapText="1" shrinkToFit="1"/>
    </xf>
    <xf numFmtId="0" fontId="51" fillId="0" borderId="1" xfId="3" applyNumberFormat="1" applyFont="1" applyFill="1" applyBorder="1" applyAlignment="1">
      <alignment horizontal="left" vertical="center" wrapText="1" shrinkToFit="1"/>
    </xf>
    <xf numFmtId="0" fontId="52" fillId="0" borderId="1" xfId="3" applyNumberFormat="1" applyFont="1" applyFill="1" applyBorder="1" applyAlignment="1">
      <alignment horizontal="justify" vertical="center" wrapText="1" shrinkToFit="1"/>
    </xf>
    <xf numFmtId="0" fontId="25" fillId="0" borderId="1" xfId="2" applyFont="1" applyFill="1" applyBorder="1" applyAlignment="1">
      <alignment vertical="center" wrapText="1"/>
    </xf>
    <xf numFmtId="0" fontId="37" fillId="0" borderId="1" xfId="1" applyFont="1" applyFill="1" applyBorder="1" applyAlignment="1">
      <alignment horizontal="left" vertical="center" wrapText="1"/>
    </xf>
    <xf numFmtId="49" fontId="17" fillId="0" borderId="0" xfId="2" applyNumberFormat="1" applyFont="1" applyFill="1" applyBorder="1" applyAlignment="1">
      <alignment horizontal="center" vertical="center" wrapText="1"/>
    </xf>
    <xf numFmtId="0" fontId="21" fillId="0" borderId="2" xfId="1" applyFont="1" applyFill="1" applyBorder="1" applyAlignment="1">
      <alignment horizontal="center" vertical="center" wrapText="1"/>
    </xf>
    <xf numFmtId="0" fontId="21" fillId="0" borderId="4" xfId="1" applyFont="1" applyFill="1" applyBorder="1" applyAlignment="1">
      <alignment horizontal="center" vertical="center" wrapText="1"/>
    </xf>
    <xf numFmtId="0" fontId="21" fillId="0" borderId="5" xfId="1" applyFont="1" applyFill="1" applyBorder="1" applyAlignment="1">
      <alignment horizontal="center" vertical="center" wrapText="1"/>
    </xf>
    <xf numFmtId="49" fontId="24" fillId="0" borderId="2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49" fontId="24" fillId="0" borderId="5" xfId="3" applyNumberFormat="1" applyFont="1" applyFill="1" applyBorder="1" applyAlignment="1">
      <alignment horizontal="center" vertical="center" wrapText="1"/>
    </xf>
    <xf numFmtId="49" fontId="21" fillId="0" borderId="2" xfId="3" applyNumberFormat="1" applyFont="1" applyFill="1" applyBorder="1" applyAlignment="1">
      <alignment horizontal="center" vertical="center" wrapText="1"/>
    </xf>
    <xf numFmtId="49" fontId="21" fillId="0" borderId="4" xfId="3" applyNumberFormat="1" applyFont="1" applyFill="1" applyBorder="1" applyAlignment="1">
      <alignment horizontal="center" vertical="center" wrapText="1"/>
    </xf>
    <xf numFmtId="49" fontId="21" fillId="0" borderId="5" xfId="3" applyNumberFormat="1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49" fontId="31" fillId="0" borderId="1" xfId="3" applyNumberFormat="1" applyFont="1" applyFill="1" applyBorder="1" applyAlignment="1">
      <alignment horizontal="center" vertical="center" wrapText="1"/>
    </xf>
    <xf numFmtId="49" fontId="31" fillId="2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49" fontId="31" fillId="0" borderId="3" xfId="3" applyNumberFormat="1" applyFont="1" applyFill="1" applyBorder="1" applyAlignment="1">
      <alignment horizontal="center" vertical="center" wrapText="1"/>
    </xf>
    <xf numFmtId="49" fontId="31" fillId="0" borderId="7" xfId="3" applyNumberFormat="1" applyFont="1" applyFill="1" applyBorder="1" applyAlignment="1">
      <alignment horizontal="center" vertical="center" wrapText="1"/>
    </xf>
    <xf numFmtId="49" fontId="31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23" fillId="0" borderId="6" xfId="3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49" fontId="12" fillId="0" borderId="3" xfId="3" applyNumberFormat="1" applyFont="1" applyFill="1" applyBorder="1" applyAlignment="1">
      <alignment horizontal="center" vertical="center" wrapText="1" shrinkToFit="1"/>
    </xf>
    <xf numFmtId="49" fontId="12" fillId="0" borderId="6" xfId="3" applyNumberFormat="1" applyFont="1" applyFill="1" applyBorder="1" applyAlignment="1">
      <alignment horizontal="center" vertical="center" wrapText="1" shrinkToFit="1"/>
    </xf>
    <xf numFmtId="49" fontId="12" fillId="0" borderId="7" xfId="3" applyNumberFormat="1" applyFont="1" applyFill="1" applyBorder="1" applyAlignment="1">
      <alignment horizontal="center" vertical="center" wrapText="1" shrinkToFit="1"/>
    </xf>
  </cellXfs>
  <cellStyles count="33">
    <cellStyle name="Звичайний 10" xfId="16"/>
    <cellStyle name="Звичайний 11" xfId="17"/>
    <cellStyle name="Звичайний 12" xfId="18"/>
    <cellStyle name="Звичайний 13" xfId="19"/>
    <cellStyle name="Звичайний 14" xfId="20"/>
    <cellStyle name="Звичайний 15" xfId="21"/>
    <cellStyle name="Звичайний 16" xfId="22"/>
    <cellStyle name="Звичайний 17" xfId="23"/>
    <cellStyle name="Звичайний 18" xfId="24"/>
    <cellStyle name="Звичайний 19" xfId="25"/>
    <cellStyle name="Звичайний 2" xfId="3"/>
    <cellStyle name="Звичайний 2 2" xfId="31"/>
    <cellStyle name="Звичайний 2 3" xfId="5"/>
    <cellStyle name="Звичайний 20" xfId="26"/>
    <cellStyle name="Звичайний 3" xfId="6"/>
    <cellStyle name="Звичайний 3 2" xfId="7"/>
    <cellStyle name="Звичайний 4" xfId="9"/>
    <cellStyle name="Звичайний 5" xfId="10"/>
    <cellStyle name="Звичайний 5 2" xfId="27"/>
    <cellStyle name="Звичайний 6" xfId="12"/>
    <cellStyle name="Звичайний 7" xfId="13"/>
    <cellStyle name="Звичайний 8" xfId="14"/>
    <cellStyle name="Звичайний 9" xfId="15"/>
    <cellStyle name="Звичайний_1с" xfId="11"/>
    <cellStyle name="Обычный" xfId="0" builtinId="0"/>
    <cellStyle name="Обычный 2" xfId="28"/>
    <cellStyle name="Обычный 3" xfId="29"/>
    <cellStyle name="Обычный 4" xfId="30"/>
    <cellStyle name="Обычный 5" xfId="32"/>
    <cellStyle name="Обычный 6" xfId="4"/>
    <cellStyle name="Обычный_Ан_вик_бюдж_поміс" xfId="1"/>
    <cellStyle name="Обычный_Ан_вик_бюдж_поміс_вл_закр" xfId="2"/>
    <cellStyle name="Фінансовий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48"/>
  <sheetViews>
    <sheetView showGridLines="0" tabSelected="1" view="pageBreakPreview" zoomScale="60" zoomScaleNormal="75" workbookViewId="0">
      <pane xSplit="3" ySplit="6" topLeftCell="D96" activePane="bottomRight" state="frozen"/>
      <selection pane="topRight" activeCell="D1" sqref="D1"/>
      <selection pane="bottomLeft" activeCell="A7" sqref="A7"/>
      <selection pane="bottomRight" activeCell="F3" sqref="F3:F4"/>
    </sheetView>
  </sheetViews>
  <sheetFormatPr defaultRowHeight="12.75" x14ac:dyDescent="0.2"/>
  <cols>
    <col min="1" max="1" width="12.28515625" style="20" customWidth="1"/>
    <col min="2" max="2" width="78.7109375" style="20" customWidth="1"/>
    <col min="3" max="3" width="16.140625" style="20" customWidth="1"/>
    <col min="4" max="4" width="23.5703125" style="20" hidden="1" customWidth="1"/>
    <col min="5" max="5" width="25.28515625" style="20" customWidth="1"/>
    <col min="6" max="6" width="23.140625" style="33" customWidth="1"/>
    <col min="7" max="7" width="21.28515625" style="3" hidden="1" customWidth="1"/>
    <col min="8" max="10" width="21.28515625" style="228" hidden="1" customWidth="1"/>
    <col min="11" max="11" width="21.28515625" style="3" hidden="1" customWidth="1"/>
    <col min="12" max="12" width="18.28515625" style="1" customWidth="1"/>
    <col min="13" max="13" width="24.7109375" style="3" hidden="1" customWidth="1"/>
    <col min="14" max="14" width="22.5703125" style="1" hidden="1" customWidth="1"/>
    <col min="15" max="15" width="14.140625" style="1" hidden="1" customWidth="1"/>
    <col min="16" max="16" width="23.7109375" style="33" customWidth="1"/>
    <col min="17" max="17" width="21.85546875" style="1" customWidth="1"/>
    <col min="18" max="18" width="14.7109375" style="3" bestFit="1" customWidth="1"/>
    <col min="19" max="19" width="24.42578125" style="3" hidden="1" customWidth="1"/>
    <col min="20" max="20" width="19.140625" style="3" hidden="1" customWidth="1"/>
    <col min="21" max="21" width="15.85546875" style="3" hidden="1" customWidth="1"/>
    <col min="22" max="22" width="0" style="3" hidden="1" customWidth="1"/>
    <col min="23" max="23" width="24.140625" style="3" hidden="1" customWidth="1"/>
    <col min="24" max="24" width="0" style="3" hidden="1" customWidth="1"/>
    <col min="25" max="25" width="15.140625" style="3" hidden="1" customWidth="1"/>
    <col min="26" max="26" width="0" style="3" hidden="1" customWidth="1"/>
    <col min="27" max="16384" width="9.140625" style="3"/>
  </cols>
  <sheetData>
    <row r="1" spans="1:33" ht="30" customHeight="1" x14ac:dyDescent="0.2">
      <c r="A1" s="240" t="s">
        <v>209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</row>
    <row r="2" spans="1:33" ht="18.75" x14ac:dyDescent="0.3">
      <c r="A2" s="23" t="s">
        <v>48</v>
      </c>
      <c r="B2" s="18"/>
      <c r="C2" s="18"/>
      <c r="D2" s="106"/>
      <c r="E2" s="18"/>
      <c r="F2" s="106"/>
      <c r="G2" s="18"/>
      <c r="H2" s="229"/>
      <c r="I2" s="229"/>
      <c r="J2" s="229"/>
      <c r="K2" s="18"/>
      <c r="M2" s="106"/>
      <c r="P2" s="106"/>
      <c r="Q2" s="5" t="s">
        <v>13</v>
      </c>
      <c r="R2" s="5"/>
    </row>
    <row r="3" spans="1:33" s="73" customFormat="1" ht="15" customHeight="1" x14ac:dyDescent="0.25">
      <c r="A3" s="253" t="s">
        <v>0</v>
      </c>
      <c r="B3" s="256" t="s">
        <v>1</v>
      </c>
      <c r="C3" s="256" t="s">
        <v>2</v>
      </c>
      <c r="D3" s="251" t="s">
        <v>140</v>
      </c>
      <c r="E3" s="251" t="s">
        <v>141</v>
      </c>
      <c r="F3" s="252" t="s">
        <v>173</v>
      </c>
      <c r="G3" s="254" t="s">
        <v>64</v>
      </c>
      <c r="H3" s="254" t="s">
        <v>155</v>
      </c>
      <c r="I3" s="254" t="s">
        <v>165</v>
      </c>
      <c r="J3" s="254" t="s">
        <v>172</v>
      </c>
      <c r="K3" s="254" t="s">
        <v>186</v>
      </c>
      <c r="L3" s="251" t="s">
        <v>208</v>
      </c>
      <c r="M3" s="251" t="s">
        <v>174</v>
      </c>
      <c r="N3" s="251" t="s">
        <v>175</v>
      </c>
      <c r="O3" s="251" t="s">
        <v>3</v>
      </c>
      <c r="P3" s="252" t="s">
        <v>176</v>
      </c>
      <c r="Q3" s="251" t="s">
        <v>177</v>
      </c>
      <c r="R3" s="251" t="s">
        <v>3</v>
      </c>
    </row>
    <row r="4" spans="1:33" s="73" customFormat="1" ht="90.75" customHeight="1" x14ac:dyDescent="0.25">
      <c r="A4" s="253"/>
      <c r="B4" s="256"/>
      <c r="C4" s="256"/>
      <c r="D4" s="251"/>
      <c r="E4" s="251"/>
      <c r="F4" s="252"/>
      <c r="G4" s="255"/>
      <c r="H4" s="255"/>
      <c r="I4" s="255"/>
      <c r="J4" s="255"/>
      <c r="K4" s="255"/>
      <c r="L4" s="251"/>
      <c r="M4" s="251"/>
      <c r="N4" s="251"/>
      <c r="O4" s="251"/>
      <c r="P4" s="252"/>
      <c r="Q4" s="251"/>
      <c r="R4" s="251"/>
    </row>
    <row r="5" spans="1:33" s="78" customFormat="1" ht="20.25" x14ac:dyDescent="0.2">
      <c r="A5" s="74" t="s">
        <v>4</v>
      </c>
      <c r="B5" s="75" t="s">
        <v>5</v>
      </c>
      <c r="C5" s="75">
        <f>B5+1</f>
        <v>3</v>
      </c>
      <c r="D5" s="75">
        <f>C5+1</f>
        <v>4</v>
      </c>
      <c r="E5" s="75">
        <v>4</v>
      </c>
      <c r="F5" s="76">
        <f t="shared" ref="F5:R5" si="0">E5+1</f>
        <v>5</v>
      </c>
      <c r="G5" s="75">
        <f t="shared" si="0"/>
        <v>6</v>
      </c>
      <c r="H5" s="208">
        <f t="shared" ref="H5" si="1">G5+1</f>
        <v>7</v>
      </c>
      <c r="I5" s="208">
        <f t="shared" ref="I5" si="2">H5+1</f>
        <v>8</v>
      </c>
      <c r="J5" s="208">
        <f t="shared" ref="J5" si="3">I5+1</f>
        <v>9</v>
      </c>
      <c r="K5" s="208">
        <f t="shared" ref="K5" si="4">J5+1</f>
        <v>10</v>
      </c>
      <c r="L5" s="75">
        <v>6</v>
      </c>
      <c r="M5" s="208">
        <v>8</v>
      </c>
      <c r="N5" s="75">
        <f t="shared" si="0"/>
        <v>9</v>
      </c>
      <c r="O5" s="75">
        <f t="shared" si="0"/>
        <v>10</v>
      </c>
      <c r="P5" s="76">
        <v>7</v>
      </c>
      <c r="Q5" s="75">
        <f t="shared" si="0"/>
        <v>8</v>
      </c>
      <c r="R5" s="75">
        <f t="shared" si="0"/>
        <v>9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</row>
    <row r="6" spans="1:33" s="80" customFormat="1" ht="26.25" customHeight="1" x14ac:dyDescent="0.2">
      <c r="A6" s="79"/>
      <c r="B6" s="244" t="s">
        <v>6</v>
      </c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45"/>
      <c r="R6" s="246"/>
    </row>
    <row r="7" spans="1:33" s="85" customFormat="1" ht="36" customHeight="1" x14ac:dyDescent="0.25">
      <c r="A7" s="81">
        <v>1</v>
      </c>
      <c r="B7" s="90" t="s">
        <v>68</v>
      </c>
      <c r="C7" s="82" t="s">
        <v>14</v>
      </c>
      <c r="D7" s="127">
        <v>2398057.0789999999</v>
      </c>
      <c r="E7" s="127">
        <v>2398057.0789999999</v>
      </c>
      <c r="F7" s="128">
        <f>SUM(G7:K7)</f>
        <v>896515.37700000009</v>
      </c>
      <c r="G7" s="127">
        <v>146999.421</v>
      </c>
      <c r="H7" s="215">
        <v>179706.052</v>
      </c>
      <c r="I7" s="215">
        <v>188112.742</v>
      </c>
      <c r="J7" s="215">
        <v>196904.038</v>
      </c>
      <c r="K7" s="127">
        <v>184793.12400000001</v>
      </c>
      <c r="L7" s="131">
        <f t="shared" ref="L7:L23" si="5">F7/E7*100</f>
        <v>37.385072476000062</v>
      </c>
      <c r="M7" s="129">
        <v>859588.73300000001</v>
      </c>
      <c r="N7" s="130">
        <f t="shared" ref="N7:N41" si="6">F7-M7</f>
        <v>36926.644000000088</v>
      </c>
      <c r="O7" s="131">
        <f t="shared" ref="O7:O14" si="7">F7/M7*100</f>
        <v>104.29585016442975</v>
      </c>
      <c r="P7" s="128">
        <v>737089.22400000005</v>
      </c>
      <c r="Q7" s="130">
        <f t="shared" ref="Q7:Q38" si="8">F7-P7</f>
        <v>159426.15300000005</v>
      </c>
      <c r="R7" s="131">
        <f>F7/P7*100</f>
        <v>121.62915259225117</v>
      </c>
      <c r="S7" s="83"/>
      <c r="T7" s="83"/>
      <c r="U7" s="83">
        <f>S7-T7</f>
        <v>0</v>
      </c>
      <c r="V7" s="84" t="e">
        <f>S7/T7*100</f>
        <v>#DIV/0!</v>
      </c>
    </row>
    <row r="8" spans="1:33" s="85" customFormat="1" ht="39" x14ac:dyDescent="0.25">
      <c r="A8" s="81">
        <f>A7+1</f>
        <v>2</v>
      </c>
      <c r="B8" s="90" t="s">
        <v>35</v>
      </c>
      <c r="C8" s="82" t="s">
        <v>16</v>
      </c>
      <c r="D8" s="127">
        <v>1100</v>
      </c>
      <c r="E8" s="127">
        <v>1100</v>
      </c>
      <c r="F8" s="128">
        <f t="shared" ref="F8:F75" si="9">SUM(G8:K8)</f>
        <v>675.26200000000006</v>
      </c>
      <c r="G8" s="127">
        <v>70</v>
      </c>
      <c r="H8" s="215">
        <v>377.19400000000002</v>
      </c>
      <c r="I8" s="215">
        <v>102.018</v>
      </c>
      <c r="J8" s="215">
        <v>56.6</v>
      </c>
      <c r="K8" s="127">
        <v>69.45</v>
      </c>
      <c r="L8" s="131">
        <f t="shared" si="5"/>
        <v>61.38745454545456</v>
      </c>
      <c r="M8" s="129">
        <v>675</v>
      </c>
      <c r="N8" s="130">
        <f t="shared" si="6"/>
        <v>0.2620000000000573</v>
      </c>
      <c r="O8" s="131">
        <f t="shared" si="7"/>
        <v>100.03881481481483</v>
      </c>
      <c r="P8" s="128">
        <v>731.505</v>
      </c>
      <c r="Q8" s="130">
        <f t="shared" si="8"/>
        <v>-56.242999999999938</v>
      </c>
      <c r="R8" s="131">
        <f>F8/P8*100</f>
        <v>92.311330749618946</v>
      </c>
      <c r="S8" s="83"/>
      <c r="T8" s="83"/>
      <c r="U8" s="83">
        <f>P7/0.5</f>
        <v>1474178.4480000001</v>
      </c>
      <c r="V8" s="84">
        <f>T8/U8*100</f>
        <v>0</v>
      </c>
    </row>
    <row r="9" spans="1:33" s="85" customFormat="1" ht="39" x14ac:dyDescent="0.25">
      <c r="A9" s="81">
        <v>3</v>
      </c>
      <c r="B9" s="90" t="s">
        <v>113</v>
      </c>
      <c r="C9" s="82" t="s">
        <v>114</v>
      </c>
      <c r="D9" s="127">
        <f>SUM(D11:D13)</f>
        <v>506.88</v>
      </c>
      <c r="E9" s="127">
        <f>SUM(E10:E13)</f>
        <v>515.38</v>
      </c>
      <c r="F9" s="128">
        <f>SUM(G9:K9)</f>
        <v>213.328</v>
      </c>
      <c r="G9" s="127">
        <f t="shared" ref="G9:M9" si="10">SUM(G10:G13)</f>
        <v>0.54200000000000004</v>
      </c>
      <c r="H9" s="215">
        <f t="shared" si="10"/>
        <v>122.19999999999999</v>
      </c>
      <c r="I9" s="215">
        <f t="shared" si="10"/>
        <v>2.044</v>
      </c>
      <c r="J9" s="215">
        <f t="shared" si="10"/>
        <v>2.8140000000000001</v>
      </c>
      <c r="K9" s="127">
        <f t="shared" si="10"/>
        <v>85.728000000000009</v>
      </c>
      <c r="L9" s="131">
        <f t="shared" si="5"/>
        <v>41.392370677946374</v>
      </c>
      <c r="M9" s="129">
        <f t="shared" si="10"/>
        <v>208.07500000000002</v>
      </c>
      <c r="N9" s="130">
        <f t="shared" si="6"/>
        <v>5.2529999999999859</v>
      </c>
      <c r="O9" s="131">
        <f t="shared" si="7"/>
        <v>102.52457046737955</v>
      </c>
      <c r="P9" s="128">
        <f>SUM(P10:P13)</f>
        <v>227.97399999999999</v>
      </c>
      <c r="Q9" s="130">
        <f t="shared" si="8"/>
        <v>-14.645999999999987</v>
      </c>
      <c r="R9" s="131">
        <f>F9/P9*100</f>
        <v>93.575583180538132</v>
      </c>
      <c r="S9" s="83"/>
      <c r="T9" s="83"/>
      <c r="U9" s="83"/>
      <c r="V9" s="84"/>
    </row>
    <row r="10" spans="1:33" s="89" customFormat="1" ht="58.5" x14ac:dyDescent="0.25">
      <c r="A10" s="86" t="s">
        <v>115</v>
      </c>
      <c r="B10" s="189" t="s">
        <v>157</v>
      </c>
      <c r="C10" s="72" t="s">
        <v>156</v>
      </c>
      <c r="D10" s="220">
        <v>0</v>
      </c>
      <c r="E10" s="220">
        <v>8.5</v>
      </c>
      <c r="F10" s="199">
        <f t="shared" si="9"/>
        <v>13.062999999999999</v>
      </c>
      <c r="G10" s="220">
        <v>0</v>
      </c>
      <c r="H10" s="220">
        <v>8.5109999999999992</v>
      </c>
      <c r="I10" s="220">
        <v>0</v>
      </c>
      <c r="J10" s="220">
        <v>0</v>
      </c>
      <c r="K10" s="220">
        <v>4.5519999999999996</v>
      </c>
      <c r="L10" s="221">
        <f t="shared" si="5"/>
        <v>153.68235294117645</v>
      </c>
      <c r="M10" s="134">
        <v>8.5</v>
      </c>
      <c r="N10" s="135">
        <f t="shared" si="6"/>
        <v>4.5629999999999988</v>
      </c>
      <c r="O10" s="221">
        <f t="shared" si="7"/>
        <v>153.68235294117645</v>
      </c>
      <c r="P10" s="199">
        <v>0</v>
      </c>
      <c r="Q10" s="135">
        <f t="shared" si="8"/>
        <v>13.062999999999999</v>
      </c>
      <c r="R10" s="221"/>
    </row>
    <row r="11" spans="1:33" s="89" customFormat="1" ht="78" x14ac:dyDescent="0.25">
      <c r="A11" s="86" t="s">
        <v>116</v>
      </c>
      <c r="B11" s="189" t="s">
        <v>107</v>
      </c>
      <c r="C11" s="72" t="s">
        <v>108</v>
      </c>
      <c r="D11" s="220">
        <v>166.79</v>
      </c>
      <c r="E11" s="220">
        <v>166.79</v>
      </c>
      <c r="F11" s="199">
        <f t="shared" si="9"/>
        <v>67.532000000000011</v>
      </c>
      <c r="G11" s="220">
        <v>0</v>
      </c>
      <c r="H11" s="220">
        <v>53.468000000000004</v>
      </c>
      <c r="I11" s="220">
        <v>0</v>
      </c>
      <c r="J11" s="220">
        <v>0</v>
      </c>
      <c r="K11" s="220">
        <v>14.064</v>
      </c>
      <c r="L11" s="221">
        <f t="shared" si="5"/>
        <v>40.489237963906717</v>
      </c>
      <c r="M11" s="134">
        <v>67.400000000000006</v>
      </c>
      <c r="N11" s="135">
        <f t="shared" si="6"/>
        <v>0.132000000000005</v>
      </c>
      <c r="O11" s="221">
        <f t="shared" si="7"/>
        <v>100.19584569732937</v>
      </c>
      <c r="P11" s="199">
        <v>51.515000000000001</v>
      </c>
      <c r="Q11" s="135">
        <f t="shared" si="8"/>
        <v>16.01700000000001</v>
      </c>
      <c r="R11" s="221">
        <f t="shared" ref="R11:R23" si="11">F11/P11*100</f>
        <v>131.09191497622055</v>
      </c>
    </row>
    <row r="12" spans="1:33" s="89" customFormat="1" ht="39" x14ac:dyDescent="0.25">
      <c r="A12" s="86" t="s">
        <v>117</v>
      </c>
      <c r="B12" s="189" t="s">
        <v>144</v>
      </c>
      <c r="C12" s="72" t="s">
        <v>112</v>
      </c>
      <c r="D12" s="220">
        <v>82.45</v>
      </c>
      <c r="E12" s="220">
        <v>82.45</v>
      </c>
      <c r="F12" s="199">
        <f t="shared" si="9"/>
        <v>31.804000000000006</v>
      </c>
      <c r="G12" s="220">
        <v>0.54200000000000004</v>
      </c>
      <c r="H12" s="220">
        <v>16.193000000000001</v>
      </c>
      <c r="I12" s="220">
        <v>4.4999999999999998E-2</v>
      </c>
      <c r="J12" s="220">
        <v>2.8140000000000001</v>
      </c>
      <c r="K12" s="220">
        <v>12.21</v>
      </c>
      <c r="L12" s="221">
        <f t="shared" si="5"/>
        <v>38.573681018799277</v>
      </c>
      <c r="M12" s="134">
        <v>31.274999999999999</v>
      </c>
      <c r="N12" s="135">
        <f t="shared" si="6"/>
        <v>0.52900000000000702</v>
      </c>
      <c r="O12" s="221">
        <f t="shared" si="7"/>
        <v>101.69144684252601</v>
      </c>
      <c r="P12" s="199">
        <v>34.085000000000001</v>
      </c>
      <c r="Q12" s="135">
        <f t="shared" si="8"/>
        <v>-2.2809999999999953</v>
      </c>
      <c r="R12" s="221">
        <f t="shared" si="11"/>
        <v>93.307906703828678</v>
      </c>
    </row>
    <row r="13" spans="1:33" s="89" customFormat="1" ht="39" x14ac:dyDescent="0.25">
      <c r="A13" s="86" t="s">
        <v>158</v>
      </c>
      <c r="B13" s="189" t="s">
        <v>143</v>
      </c>
      <c r="C13" s="72" t="s">
        <v>142</v>
      </c>
      <c r="D13" s="220">
        <v>257.64</v>
      </c>
      <c r="E13" s="220">
        <v>257.64</v>
      </c>
      <c r="F13" s="199">
        <f t="shared" si="9"/>
        <v>100.929</v>
      </c>
      <c r="G13" s="220">
        <v>0</v>
      </c>
      <c r="H13" s="220">
        <v>44.027999999999999</v>
      </c>
      <c r="I13" s="220">
        <v>1.9990000000000001</v>
      </c>
      <c r="J13" s="220">
        <v>0</v>
      </c>
      <c r="K13" s="220">
        <v>54.902000000000001</v>
      </c>
      <c r="L13" s="221">
        <f t="shared" si="5"/>
        <v>39.174429436422919</v>
      </c>
      <c r="M13" s="134">
        <v>100.9</v>
      </c>
      <c r="N13" s="135">
        <f t="shared" si="6"/>
        <v>2.8999999999996362E-2</v>
      </c>
      <c r="O13" s="221">
        <f t="shared" si="7"/>
        <v>100.02874132804757</v>
      </c>
      <c r="P13" s="199">
        <v>142.374</v>
      </c>
      <c r="Q13" s="135">
        <f t="shared" si="8"/>
        <v>-41.444999999999993</v>
      </c>
      <c r="R13" s="221">
        <f t="shared" si="11"/>
        <v>70.890050149605983</v>
      </c>
    </row>
    <row r="14" spans="1:33" s="85" customFormat="1" ht="36" customHeight="1" x14ac:dyDescent="0.25">
      <c r="A14" s="81">
        <v>4</v>
      </c>
      <c r="B14" s="113" t="s">
        <v>94</v>
      </c>
      <c r="C14" s="107" t="s">
        <v>93</v>
      </c>
      <c r="D14" s="127">
        <f>SUM(D15:D17)</f>
        <v>247766</v>
      </c>
      <c r="E14" s="127">
        <f>SUM(E15:E17)</f>
        <v>247766</v>
      </c>
      <c r="F14" s="128">
        <f t="shared" si="9"/>
        <v>90935.100999999995</v>
      </c>
      <c r="G14" s="127">
        <f t="shared" ref="G14:M14" si="12">SUM(G15:G17)</f>
        <v>9113.7909999999993</v>
      </c>
      <c r="H14" s="215">
        <f t="shared" ref="H14:J14" si="13">SUM(H15:H17)</f>
        <v>6708.6940000000004</v>
      </c>
      <c r="I14" s="215">
        <f t="shared" si="13"/>
        <v>36301.611000000004</v>
      </c>
      <c r="J14" s="215">
        <f t="shared" si="13"/>
        <v>18813.798999999999</v>
      </c>
      <c r="K14" s="127">
        <f t="shared" si="12"/>
        <v>19997.205999999998</v>
      </c>
      <c r="L14" s="131">
        <f t="shared" si="5"/>
        <v>36.702009557404971</v>
      </c>
      <c r="M14" s="129">
        <f t="shared" si="12"/>
        <v>86103.377999999997</v>
      </c>
      <c r="N14" s="130">
        <f t="shared" si="6"/>
        <v>4831.7229999999981</v>
      </c>
      <c r="O14" s="131">
        <f t="shared" si="7"/>
        <v>105.6115370990439</v>
      </c>
      <c r="P14" s="128">
        <f t="shared" ref="P14" si="14">SUM(P15:P17)</f>
        <v>83241.332999999999</v>
      </c>
      <c r="Q14" s="130">
        <f t="shared" si="8"/>
        <v>7693.7679999999964</v>
      </c>
      <c r="R14" s="131">
        <f t="shared" si="11"/>
        <v>109.24272560603995</v>
      </c>
    </row>
    <row r="15" spans="1:33" s="89" customFormat="1" ht="39" x14ac:dyDescent="0.25">
      <c r="A15" s="86" t="s">
        <v>130</v>
      </c>
      <c r="B15" s="189" t="s">
        <v>100</v>
      </c>
      <c r="C15" s="72" t="s">
        <v>91</v>
      </c>
      <c r="D15" s="132">
        <v>25500</v>
      </c>
      <c r="E15" s="132">
        <v>25500</v>
      </c>
      <c r="F15" s="133">
        <f t="shared" si="9"/>
        <v>10779.114</v>
      </c>
      <c r="G15" s="132">
        <v>0</v>
      </c>
      <c r="H15" s="220">
        <v>0</v>
      </c>
      <c r="I15" s="220">
        <v>6236.9179999999997</v>
      </c>
      <c r="J15" s="220">
        <v>2120.248</v>
      </c>
      <c r="K15" s="132">
        <v>2421.9479999999999</v>
      </c>
      <c r="L15" s="136">
        <f t="shared" si="5"/>
        <v>42.271035294117645</v>
      </c>
      <c r="M15" s="134">
        <v>10571.44</v>
      </c>
      <c r="N15" s="135">
        <f t="shared" si="6"/>
        <v>207.67399999999907</v>
      </c>
      <c r="O15" s="221">
        <f t="shared" ref="O15:O27" si="15">F15/M15*100</f>
        <v>101.96448166001981</v>
      </c>
      <c r="P15" s="133">
        <v>8498.1620000000003</v>
      </c>
      <c r="Q15" s="135">
        <f t="shared" si="8"/>
        <v>2280.9519999999993</v>
      </c>
      <c r="R15" s="221">
        <f t="shared" si="11"/>
        <v>126.84053328237329</v>
      </c>
      <c r="S15" s="87">
        <f>P15+P16</f>
        <v>36562.442999999999</v>
      </c>
      <c r="T15" s="87">
        <f>F15+F16</f>
        <v>48023.446000000004</v>
      </c>
    </row>
    <row r="16" spans="1:33" s="89" customFormat="1" ht="39" x14ac:dyDescent="0.25">
      <c r="A16" s="86" t="s">
        <v>131</v>
      </c>
      <c r="B16" s="189" t="s">
        <v>101</v>
      </c>
      <c r="C16" s="72" t="s">
        <v>92</v>
      </c>
      <c r="D16" s="132">
        <v>87500</v>
      </c>
      <c r="E16" s="132">
        <v>87500</v>
      </c>
      <c r="F16" s="133">
        <f t="shared" si="9"/>
        <v>37244.332000000002</v>
      </c>
      <c r="G16" s="132">
        <v>0</v>
      </c>
      <c r="H16" s="220">
        <v>0</v>
      </c>
      <c r="I16" s="220">
        <v>21013.128000000001</v>
      </c>
      <c r="J16" s="220">
        <v>8063.9430000000002</v>
      </c>
      <c r="K16" s="132">
        <v>8167.2610000000004</v>
      </c>
      <c r="L16" s="136">
        <f t="shared" si="5"/>
        <v>42.564950857142861</v>
      </c>
      <c r="M16" s="134">
        <v>35925</v>
      </c>
      <c r="N16" s="135">
        <f t="shared" si="6"/>
        <v>1319.3320000000022</v>
      </c>
      <c r="O16" s="221">
        <f t="shared" si="15"/>
        <v>103.67246207376479</v>
      </c>
      <c r="P16" s="133">
        <v>28064.280999999999</v>
      </c>
      <c r="Q16" s="135">
        <f t="shared" si="8"/>
        <v>9180.0510000000031</v>
      </c>
      <c r="R16" s="221">
        <f t="shared" si="11"/>
        <v>132.71080060807546</v>
      </c>
    </row>
    <row r="17" spans="1:21" s="89" customFormat="1" ht="39" x14ac:dyDescent="0.25">
      <c r="A17" s="86" t="s">
        <v>132</v>
      </c>
      <c r="B17" s="189" t="s">
        <v>102</v>
      </c>
      <c r="C17" s="72" t="s">
        <v>57</v>
      </c>
      <c r="D17" s="132">
        <v>134766</v>
      </c>
      <c r="E17" s="132">
        <v>134766</v>
      </c>
      <c r="F17" s="133">
        <f t="shared" si="9"/>
        <v>42911.654999999999</v>
      </c>
      <c r="G17" s="132">
        <v>9113.7909999999993</v>
      </c>
      <c r="H17" s="220">
        <v>6708.6940000000004</v>
      </c>
      <c r="I17" s="220">
        <v>9051.5650000000005</v>
      </c>
      <c r="J17" s="220">
        <v>8629.6080000000002</v>
      </c>
      <c r="K17" s="132">
        <v>9407.9969999999994</v>
      </c>
      <c r="L17" s="136">
        <f t="shared" si="5"/>
        <v>31.841603223364945</v>
      </c>
      <c r="M17" s="134">
        <v>39606.938000000002</v>
      </c>
      <c r="N17" s="135">
        <f t="shared" si="6"/>
        <v>3304.7169999999969</v>
      </c>
      <c r="O17" s="136">
        <f t="shared" si="15"/>
        <v>108.34378310183936</v>
      </c>
      <c r="P17" s="133">
        <v>46678.89</v>
      </c>
      <c r="Q17" s="135">
        <f t="shared" si="8"/>
        <v>-3767.2350000000006</v>
      </c>
      <c r="R17" s="136">
        <f t="shared" si="11"/>
        <v>91.929467474483644</v>
      </c>
    </row>
    <row r="18" spans="1:21" s="114" customFormat="1" ht="39" x14ac:dyDescent="0.25">
      <c r="A18" s="81">
        <v>5</v>
      </c>
      <c r="B18" s="90" t="s">
        <v>145</v>
      </c>
      <c r="C18" s="82" t="s">
        <v>37</v>
      </c>
      <c r="D18" s="127">
        <f>D19+D20+D21+D23+D22</f>
        <v>1024661.45</v>
      </c>
      <c r="E18" s="127">
        <f>E19+E20+E21+E23+E22</f>
        <v>1024642.95</v>
      </c>
      <c r="F18" s="128">
        <f t="shared" si="9"/>
        <v>413444.17499999999</v>
      </c>
      <c r="G18" s="127">
        <f t="shared" ref="G18:M18" si="16">G19+G20+G21+G23+G22</f>
        <v>75712.956999999995</v>
      </c>
      <c r="H18" s="215">
        <f t="shared" ref="H18:J18" si="17">H19+H20+H21+H23+H22</f>
        <v>111045.80699999999</v>
      </c>
      <c r="I18" s="215">
        <f t="shared" si="17"/>
        <v>44534.228999999999</v>
      </c>
      <c r="J18" s="215">
        <f t="shared" si="17"/>
        <v>86744.623999999996</v>
      </c>
      <c r="K18" s="127">
        <f t="shared" si="16"/>
        <v>95406.558000000005</v>
      </c>
      <c r="L18" s="131">
        <f t="shared" si="5"/>
        <v>40.350072676535767</v>
      </c>
      <c r="M18" s="129">
        <f t="shared" si="16"/>
        <v>407760.44899999996</v>
      </c>
      <c r="N18" s="130">
        <f t="shared" si="6"/>
        <v>5683.7260000000242</v>
      </c>
      <c r="O18" s="131">
        <f t="shared" si="15"/>
        <v>101.39388849848947</v>
      </c>
      <c r="P18" s="128">
        <f>P19+P20+P21+P23+P22</f>
        <v>363682.91200000007</v>
      </c>
      <c r="Q18" s="130">
        <f t="shared" si="8"/>
        <v>49761.262999999919</v>
      </c>
      <c r="R18" s="131">
        <f t="shared" si="11"/>
        <v>113.68259584327127</v>
      </c>
      <c r="S18" s="160">
        <f>P20+P21+P19</f>
        <v>101075.57700000002</v>
      </c>
      <c r="T18" s="160">
        <f>F19+F20+F21</f>
        <v>136204.13699999999</v>
      </c>
    </row>
    <row r="19" spans="1:21" s="116" customFormat="1" ht="39" x14ac:dyDescent="0.25">
      <c r="A19" s="115" t="s">
        <v>147</v>
      </c>
      <c r="B19" s="190" t="s">
        <v>58</v>
      </c>
      <c r="C19" s="257" t="s">
        <v>43</v>
      </c>
      <c r="D19" s="132">
        <f>1213.85+13965.32+18822.08+58666</f>
        <v>92667.25</v>
      </c>
      <c r="E19" s="132">
        <v>92667.25</v>
      </c>
      <c r="F19" s="133">
        <f t="shared" si="9"/>
        <v>39152.179999999993</v>
      </c>
      <c r="G19" s="132">
        <v>9723.7669999999998</v>
      </c>
      <c r="H19" s="220">
        <v>3035.2669999999998</v>
      </c>
      <c r="I19" s="220">
        <v>4604.7759999999998</v>
      </c>
      <c r="J19" s="220">
        <v>15771.471</v>
      </c>
      <c r="K19" s="132">
        <v>6016.8990000000003</v>
      </c>
      <c r="L19" s="136">
        <f t="shared" si="5"/>
        <v>42.250287992791399</v>
      </c>
      <c r="M19" s="134">
        <v>37839.241000000002</v>
      </c>
      <c r="N19" s="135">
        <f t="shared" si="6"/>
        <v>1312.9389999999912</v>
      </c>
      <c r="O19" s="136">
        <f t="shared" si="15"/>
        <v>103.46978154239402</v>
      </c>
      <c r="P19" s="133">
        <v>23192.613000000005</v>
      </c>
      <c r="Q19" s="135">
        <f t="shared" si="8"/>
        <v>15959.566999999988</v>
      </c>
      <c r="R19" s="136">
        <f t="shared" si="11"/>
        <v>168.81314753106943</v>
      </c>
    </row>
    <row r="20" spans="1:21" s="116" customFormat="1" ht="32.25" customHeight="1" x14ac:dyDescent="0.25">
      <c r="A20" s="86" t="s">
        <v>148</v>
      </c>
      <c r="B20" s="190" t="s">
        <v>7</v>
      </c>
      <c r="C20" s="257"/>
      <c r="D20" s="132">
        <v>300000</v>
      </c>
      <c r="E20" s="132">
        <v>299591.5</v>
      </c>
      <c r="F20" s="133">
        <f t="shared" si="9"/>
        <v>96158.978999999992</v>
      </c>
      <c r="G20" s="132">
        <v>15633.511</v>
      </c>
      <c r="H20" s="220">
        <v>21109.75</v>
      </c>
      <c r="I20" s="220">
        <v>19376.571</v>
      </c>
      <c r="J20" s="220">
        <v>19580.672999999999</v>
      </c>
      <c r="K20" s="132">
        <v>20458.473999999998</v>
      </c>
      <c r="L20" s="136">
        <f t="shared" si="5"/>
        <v>32.096698003781817</v>
      </c>
      <c r="M20" s="134">
        <v>93544.707999999999</v>
      </c>
      <c r="N20" s="135">
        <f t="shared" si="6"/>
        <v>2614.2709999999934</v>
      </c>
      <c r="O20" s="136">
        <f t="shared" si="15"/>
        <v>102.79467546149164</v>
      </c>
      <c r="P20" s="133">
        <v>76926.203000000009</v>
      </c>
      <c r="Q20" s="135">
        <f t="shared" si="8"/>
        <v>19232.775999999983</v>
      </c>
      <c r="R20" s="136">
        <f t="shared" si="11"/>
        <v>125.00159276027179</v>
      </c>
    </row>
    <row r="21" spans="1:21" s="116" customFormat="1" ht="32.25" customHeight="1" x14ac:dyDescent="0.25">
      <c r="A21" s="86" t="s">
        <v>149</v>
      </c>
      <c r="B21" s="190" t="s">
        <v>59</v>
      </c>
      <c r="C21" s="257"/>
      <c r="D21" s="132">
        <f>250+225</f>
        <v>475</v>
      </c>
      <c r="E21" s="132">
        <v>865</v>
      </c>
      <c r="F21" s="133">
        <f t="shared" si="9"/>
        <v>892.97800000000007</v>
      </c>
      <c r="G21" s="132">
        <v>324.197</v>
      </c>
      <c r="H21" s="220">
        <v>49.054000000000002</v>
      </c>
      <c r="I21" s="220">
        <v>157.625</v>
      </c>
      <c r="J21" s="220">
        <v>242.58</v>
      </c>
      <c r="K21" s="132">
        <v>119.52200000000001</v>
      </c>
      <c r="L21" s="136">
        <f t="shared" si="5"/>
        <v>103.23445086705203</v>
      </c>
      <c r="M21" s="134">
        <v>812</v>
      </c>
      <c r="N21" s="135">
        <f t="shared" si="6"/>
        <v>80.978000000000065</v>
      </c>
      <c r="O21" s="136">
        <f t="shared" si="15"/>
        <v>109.97266009852218</v>
      </c>
      <c r="P21" s="133">
        <v>956.76099999999997</v>
      </c>
      <c r="Q21" s="135">
        <f t="shared" si="8"/>
        <v>-63.782999999999902</v>
      </c>
      <c r="R21" s="136">
        <f t="shared" si="11"/>
        <v>93.333444820597848</v>
      </c>
      <c r="S21" s="136">
        <f>100-R21</f>
        <v>6.6665551794021525</v>
      </c>
      <c r="T21" s="117"/>
      <c r="U21" s="118" t="e">
        <f>F19/#REF!*100</f>
        <v>#REF!</v>
      </c>
    </row>
    <row r="22" spans="1:21" s="120" customFormat="1" ht="32.25" customHeight="1" x14ac:dyDescent="0.25">
      <c r="A22" s="86" t="s">
        <v>150</v>
      </c>
      <c r="B22" s="190" t="s">
        <v>39</v>
      </c>
      <c r="C22" s="119" t="s">
        <v>38</v>
      </c>
      <c r="D22" s="132">
        <v>950</v>
      </c>
      <c r="E22" s="132">
        <v>950</v>
      </c>
      <c r="F22" s="133">
        <f t="shared" si="9"/>
        <v>513.64700000000005</v>
      </c>
      <c r="G22" s="132">
        <v>59.935000000000002</v>
      </c>
      <c r="H22" s="220">
        <v>134.35900000000001</v>
      </c>
      <c r="I22" s="220">
        <v>29.998000000000001</v>
      </c>
      <c r="J22" s="220">
        <v>85.495000000000005</v>
      </c>
      <c r="K22" s="132">
        <v>203.86</v>
      </c>
      <c r="L22" s="136">
        <f t="shared" si="5"/>
        <v>54.068105263157896</v>
      </c>
      <c r="M22" s="134">
        <v>460.8</v>
      </c>
      <c r="N22" s="135">
        <f t="shared" si="6"/>
        <v>52.847000000000037</v>
      </c>
      <c r="O22" s="136">
        <f t="shared" si="15"/>
        <v>111.46853298611113</v>
      </c>
      <c r="P22" s="133">
        <v>482.68299999999994</v>
      </c>
      <c r="Q22" s="132">
        <f t="shared" si="8"/>
        <v>30.964000000000112</v>
      </c>
      <c r="R22" s="136">
        <f t="shared" si="11"/>
        <v>106.41497628878582</v>
      </c>
    </row>
    <row r="23" spans="1:21" s="116" customFormat="1" ht="32.25" customHeight="1" x14ac:dyDescent="0.25">
      <c r="A23" s="86" t="s">
        <v>151</v>
      </c>
      <c r="B23" s="190" t="s">
        <v>32</v>
      </c>
      <c r="C23" s="155" t="s">
        <v>33</v>
      </c>
      <c r="D23" s="132">
        <v>630569.19999999995</v>
      </c>
      <c r="E23" s="132">
        <v>630569.19999999995</v>
      </c>
      <c r="F23" s="133">
        <f t="shared" si="9"/>
        <v>276726.391</v>
      </c>
      <c r="G23" s="132">
        <v>49971.546999999999</v>
      </c>
      <c r="H23" s="220">
        <v>86717.376999999993</v>
      </c>
      <c r="I23" s="220">
        <v>20365.258999999998</v>
      </c>
      <c r="J23" s="220">
        <v>51064.404999999999</v>
      </c>
      <c r="K23" s="132">
        <v>68607.803</v>
      </c>
      <c r="L23" s="136">
        <f t="shared" si="5"/>
        <v>43.885174061784184</v>
      </c>
      <c r="M23" s="134">
        <v>275103.7</v>
      </c>
      <c r="N23" s="135">
        <f t="shared" si="6"/>
        <v>1622.6909999999916</v>
      </c>
      <c r="O23" s="136">
        <f t="shared" si="15"/>
        <v>100.58984702859321</v>
      </c>
      <c r="P23" s="133">
        <v>262124.652</v>
      </c>
      <c r="Q23" s="135">
        <f t="shared" si="8"/>
        <v>14601.739000000001</v>
      </c>
      <c r="R23" s="136">
        <f t="shared" si="11"/>
        <v>105.57053252663928</v>
      </c>
      <c r="T23" s="117"/>
      <c r="U23" s="118" t="e">
        <f>F23/#REF!*100</f>
        <v>#REF!</v>
      </c>
    </row>
    <row r="24" spans="1:21" s="114" customFormat="1" ht="36" customHeight="1" x14ac:dyDescent="0.25">
      <c r="A24" s="81">
        <v>6</v>
      </c>
      <c r="B24" s="90" t="s">
        <v>153</v>
      </c>
      <c r="C24" s="82" t="s">
        <v>154</v>
      </c>
      <c r="D24" s="127"/>
      <c r="E24" s="127"/>
      <c r="F24" s="128">
        <f t="shared" si="9"/>
        <v>0</v>
      </c>
      <c r="G24" s="127">
        <v>0</v>
      </c>
      <c r="H24" s="215">
        <v>0</v>
      </c>
      <c r="I24" s="215">
        <v>0</v>
      </c>
      <c r="J24" s="215">
        <v>0</v>
      </c>
      <c r="K24" s="127">
        <v>0</v>
      </c>
      <c r="L24" s="131"/>
      <c r="M24" s="129"/>
      <c r="N24" s="135">
        <f t="shared" si="6"/>
        <v>0</v>
      </c>
      <c r="O24" s="131"/>
      <c r="P24" s="128">
        <v>-1.8440000000000001</v>
      </c>
      <c r="Q24" s="130">
        <f t="shared" si="8"/>
        <v>1.8440000000000001</v>
      </c>
      <c r="R24" s="131"/>
      <c r="T24" s="160"/>
      <c r="U24" s="193"/>
    </row>
    <row r="25" spans="1:21" s="85" customFormat="1" ht="58.5" x14ac:dyDescent="0.25">
      <c r="A25" s="81">
        <f>A24+1</f>
        <v>7</v>
      </c>
      <c r="B25" s="90" t="s">
        <v>46</v>
      </c>
      <c r="C25" s="82" t="s">
        <v>17</v>
      </c>
      <c r="D25" s="127">
        <v>450</v>
      </c>
      <c r="E25" s="127">
        <v>450</v>
      </c>
      <c r="F25" s="128">
        <f t="shared" si="9"/>
        <v>223.52699999999999</v>
      </c>
      <c r="G25" s="127">
        <v>10</v>
      </c>
      <c r="H25" s="215">
        <v>63.488</v>
      </c>
      <c r="I25" s="215">
        <v>19.899000000000001</v>
      </c>
      <c r="J25" s="215">
        <v>46.183</v>
      </c>
      <c r="K25" s="127">
        <v>83.956999999999994</v>
      </c>
      <c r="L25" s="131">
        <f t="shared" ref="L25:L42" si="18">F25/E25*100</f>
        <v>49.672666666666665</v>
      </c>
      <c r="M25" s="129">
        <v>216</v>
      </c>
      <c r="N25" s="130">
        <f t="shared" si="6"/>
        <v>7.5269999999999868</v>
      </c>
      <c r="O25" s="131">
        <f t="shared" si="15"/>
        <v>103.48472222222223</v>
      </c>
      <c r="P25" s="128">
        <v>242.37399999999997</v>
      </c>
      <c r="Q25" s="130">
        <f t="shared" si="8"/>
        <v>-18.84699999999998</v>
      </c>
      <c r="R25" s="131">
        <f>F25/P25*100</f>
        <v>92.224000924191543</v>
      </c>
      <c r="S25" s="84">
        <f>100-R25</f>
        <v>7.775999075808457</v>
      </c>
    </row>
    <row r="26" spans="1:21" s="85" customFormat="1" ht="39" x14ac:dyDescent="0.25">
      <c r="A26" s="81">
        <f t="shared" ref="A26:A33" si="19">A25+1</f>
        <v>8</v>
      </c>
      <c r="B26" s="90" t="s">
        <v>74</v>
      </c>
      <c r="C26" s="82" t="s">
        <v>73</v>
      </c>
      <c r="D26" s="127">
        <v>12000</v>
      </c>
      <c r="E26" s="127">
        <v>12000</v>
      </c>
      <c r="F26" s="128">
        <f t="shared" si="9"/>
        <v>6529.8370000000014</v>
      </c>
      <c r="G26" s="127">
        <v>432.791</v>
      </c>
      <c r="H26" s="215">
        <v>1371.345</v>
      </c>
      <c r="I26" s="215">
        <v>1459.3430000000001</v>
      </c>
      <c r="J26" s="215">
        <v>1608.9</v>
      </c>
      <c r="K26" s="127">
        <v>1657.4580000000001</v>
      </c>
      <c r="L26" s="131">
        <f t="shared" si="18"/>
        <v>54.415308333333343</v>
      </c>
      <c r="M26" s="129">
        <v>6200</v>
      </c>
      <c r="N26" s="130">
        <f t="shared" si="6"/>
        <v>329.83700000000135</v>
      </c>
      <c r="O26" s="131">
        <f t="shared" si="15"/>
        <v>105.31995161290324</v>
      </c>
      <c r="P26" s="128">
        <v>13435.031999999999</v>
      </c>
      <c r="Q26" s="130">
        <f t="shared" si="8"/>
        <v>-6905.1949999999979</v>
      </c>
      <c r="R26" s="131">
        <f>F26/P26*100</f>
        <v>48.603062501079279</v>
      </c>
    </row>
    <row r="27" spans="1:21" s="85" customFormat="1" ht="36" customHeight="1" x14ac:dyDescent="0.25">
      <c r="A27" s="81">
        <f t="shared" si="19"/>
        <v>9</v>
      </c>
      <c r="B27" s="90" t="s">
        <v>8</v>
      </c>
      <c r="C27" s="82" t="s">
        <v>18</v>
      </c>
      <c r="D27" s="127">
        <v>5.5</v>
      </c>
      <c r="E27" s="127">
        <v>5.5</v>
      </c>
      <c r="F27" s="128">
        <f t="shared" si="9"/>
        <v>6.04</v>
      </c>
      <c r="G27" s="127">
        <v>0</v>
      </c>
      <c r="H27" s="215">
        <v>0.38</v>
      </c>
      <c r="I27" s="215">
        <v>0</v>
      </c>
      <c r="J27" s="215">
        <v>0</v>
      </c>
      <c r="K27" s="127">
        <v>5.66</v>
      </c>
      <c r="L27" s="131">
        <f t="shared" si="18"/>
        <v>109.81818181818181</v>
      </c>
      <c r="M27" s="129">
        <v>5.5</v>
      </c>
      <c r="N27" s="130">
        <f t="shared" si="6"/>
        <v>0.54</v>
      </c>
      <c r="O27" s="219">
        <f t="shared" si="15"/>
        <v>109.81818181818181</v>
      </c>
      <c r="P27" s="128">
        <v>5.4390000000000001</v>
      </c>
      <c r="Q27" s="130">
        <f t="shared" si="8"/>
        <v>0.60099999999999998</v>
      </c>
      <c r="R27" s="131">
        <f>F27/P27*100</f>
        <v>111.04982533553962</v>
      </c>
    </row>
    <row r="28" spans="1:21" s="85" customFormat="1" ht="97.5" x14ac:dyDescent="0.25">
      <c r="A28" s="81">
        <f t="shared" si="19"/>
        <v>10</v>
      </c>
      <c r="B28" s="149" t="s">
        <v>96</v>
      </c>
      <c r="C28" s="108" t="s">
        <v>97</v>
      </c>
      <c r="D28" s="127">
        <v>4.5</v>
      </c>
      <c r="E28" s="127">
        <v>4.5</v>
      </c>
      <c r="F28" s="128">
        <f t="shared" si="9"/>
        <v>0</v>
      </c>
      <c r="G28" s="127">
        <v>0</v>
      </c>
      <c r="H28" s="215">
        <v>0</v>
      </c>
      <c r="I28" s="215">
        <v>0</v>
      </c>
      <c r="J28" s="215">
        <v>0</v>
      </c>
      <c r="K28" s="127">
        <v>0</v>
      </c>
      <c r="L28" s="131">
        <f t="shared" si="18"/>
        <v>0</v>
      </c>
      <c r="M28" s="129">
        <v>0</v>
      </c>
      <c r="N28" s="130">
        <f t="shared" si="6"/>
        <v>0</v>
      </c>
      <c r="O28" s="131"/>
      <c r="P28" s="128">
        <v>4.4080000000000004</v>
      </c>
      <c r="Q28" s="130">
        <f t="shared" si="8"/>
        <v>-4.4080000000000004</v>
      </c>
      <c r="R28" s="131"/>
    </row>
    <row r="29" spans="1:21" s="85" customFormat="1" ht="30.75" customHeight="1" x14ac:dyDescent="0.25">
      <c r="A29" s="81">
        <f t="shared" si="19"/>
        <v>11</v>
      </c>
      <c r="B29" s="227" t="s">
        <v>29</v>
      </c>
      <c r="C29" s="82" t="s">
        <v>24</v>
      </c>
      <c r="D29" s="127">
        <v>8804.73</v>
      </c>
      <c r="E29" s="127">
        <v>8804.73</v>
      </c>
      <c r="F29" s="128">
        <f t="shared" si="9"/>
        <v>4128.6019999999999</v>
      </c>
      <c r="G29" s="127">
        <v>497.94799999999998</v>
      </c>
      <c r="H29" s="215">
        <v>694.71400000000006</v>
      </c>
      <c r="I29" s="215">
        <v>893.96699999999998</v>
      </c>
      <c r="J29" s="215">
        <v>1137.1980000000001</v>
      </c>
      <c r="K29" s="127">
        <v>904.77499999999998</v>
      </c>
      <c r="L29" s="131">
        <f t="shared" si="18"/>
        <v>46.890728051853948</v>
      </c>
      <c r="M29" s="129">
        <v>3925</v>
      </c>
      <c r="N29" s="130">
        <f t="shared" si="6"/>
        <v>203.60199999999986</v>
      </c>
      <c r="O29" s="131">
        <f t="shared" ref="O29:O39" si="20">F29/M29*100</f>
        <v>105.18731210191083</v>
      </c>
      <c r="P29" s="128">
        <v>802.72900000000004</v>
      </c>
      <c r="Q29" s="130">
        <f t="shared" si="8"/>
        <v>3325.8729999999996</v>
      </c>
      <c r="R29" s="131">
        <f>F29/P29*100</f>
        <v>514.32077326220917</v>
      </c>
      <c r="S29" s="84">
        <f>100-R29</f>
        <v>-414.32077326220917</v>
      </c>
    </row>
    <row r="30" spans="1:21" s="85" customFormat="1" ht="58.5" x14ac:dyDescent="0.25">
      <c r="A30" s="81">
        <f t="shared" si="19"/>
        <v>12</v>
      </c>
      <c r="B30" s="227" t="s">
        <v>85</v>
      </c>
      <c r="C30" s="82" t="s">
        <v>84</v>
      </c>
      <c r="D30" s="127">
        <v>410</v>
      </c>
      <c r="E30" s="127">
        <v>410</v>
      </c>
      <c r="F30" s="128">
        <f t="shared" si="9"/>
        <v>124.72</v>
      </c>
      <c r="G30" s="127">
        <v>14.6</v>
      </c>
      <c r="H30" s="215">
        <v>13.6</v>
      </c>
      <c r="I30" s="215">
        <v>25.3</v>
      </c>
      <c r="J30" s="215">
        <v>43.42</v>
      </c>
      <c r="K30" s="127">
        <v>27.8</v>
      </c>
      <c r="L30" s="131">
        <f t="shared" si="18"/>
        <v>30.41951219512195</v>
      </c>
      <c r="M30" s="129">
        <v>123.5</v>
      </c>
      <c r="N30" s="130">
        <f t="shared" si="6"/>
        <v>1.2199999999999989</v>
      </c>
      <c r="O30" s="131">
        <f t="shared" si="20"/>
        <v>100.98785425101215</v>
      </c>
      <c r="P30" s="128">
        <v>154.285</v>
      </c>
      <c r="Q30" s="130">
        <f t="shared" si="8"/>
        <v>-29.564999999999998</v>
      </c>
      <c r="R30" s="131">
        <f>F30/P30*100</f>
        <v>80.8374112843115</v>
      </c>
    </row>
    <row r="31" spans="1:21" s="85" customFormat="1" ht="34.5" customHeight="1" x14ac:dyDescent="0.25">
      <c r="A31" s="81">
        <f t="shared" si="19"/>
        <v>13</v>
      </c>
      <c r="B31" s="227" t="s">
        <v>118</v>
      </c>
      <c r="C31" s="82" t="s">
        <v>119</v>
      </c>
      <c r="D31" s="127">
        <v>15000</v>
      </c>
      <c r="E31" s="127">
        <v>15000</v>
      </c>
      <c r="F31" s="128">
        <f t="shared" si="9"/>
        <v>7230.9689999999991</v>
      </c>
      <c r="G31" s="127">
        <v>1342.5129999999999</v>
      </c>
      <c r="H31" s="215">
        <v>1648.6120000000001</v>
      </c>
      <c r="I31" s="215">
        <v>1521.1489999999999</v>
      </c>
      <c r="J31" s="215">
        <v>1266.5989999999999</v>
      </c>
      <c r="K31" s="127">
        <v>1452.096</v>
      </c>
      <c r="L31" s="131">
        <f t="shared" si="18"/>
        <v>48.206459999999993</v>
      </c>
      <c r="M31" s="129">
        <v>6957</v>
      </c>
      <c r="N31" s="130">
        <f t="shared" si="6"/>
        <v>273.96899999999914</v>
      </c>
      <c r="O31" s="131">
        <f t="shared" si="20"/>
        <v>103.93803363518757</v>
      </c>
      <c r="P31" s="128">
        <v>5206.067</v>
      </c>
      <c r="Q31" s="130">
        <f t="shared" si="8"/>
        <v>2024.9019999999991</v>
      </c>
      <c r="R31" s="131">
        <f>F31/P31*100</f>
        <v>138.89504303344538</v>
      </c>
    </row>
    <row r="32" spans="1:21" s="211" customFormat="1" ht="97.5" x14ac:dyDescent="0.25">
      <c r="A32" s="209">
        <f t="shared" si="19"/>
        <v>14</v>
      </c>
      <c r="B32" s="227" t="s">
        <v>167</v>
      </c>
      <c r="C32" s="210" t="s">
        <v>166</v>
      </c>
      <c r="D32" s="215">
        <v>0</v>
      </c>
      <c r="E32" s="215">
        <v>10</v>
      </c>
      <c r="F32" s="216">
        <f t="shared" si="9"/>
        <v>7.0009999999999994</v>
      </c>
      <c r="G32" s="215">
        <v>0</v>
      </c>
      <c r="H32" s="215">
        <v>0</v>
      </c>
      <c r="I32" s="215">
        <v>3.319</v>
      </c>
      <c r="J32" s="215">
        <v>1.0720000000000001</v>
      </c>
      <c r="K32" s="215">
        <v>2.61</v>
      </c>
      <c r="L32" s="219">
        <f t="shared" si="18"/>
        <v>70.009999999999991</v>
      </c>
      <c r="M32" s="217">
        <v>7</v>
      </c>
      <c r="N32" s="218">
        <f t="shared" si="6"/>
        <v>9.9999999999944578E-4</v>
      </c>
      <c r="O32" s="219">
        <f t="shared" si="20"/>
        <v>100.01428571428571</v>
      </c>
      <c r="P32" s="216">
        <v>0</v>
      </c>
      <c r="Q32" s="218">
        <f t="shared" si="8"/>
        <v>7.0009999999999994</v>
      </c>
      <c r="R32" s="219"/>
    </row>
    <row r="33" spans="1:25" s="85" customFormat="1" ht="36.75" customHeight="1" x14ac:dyDescent="0.25">
      <c r="A33" s="209">
        <f t="shared" si="19"/>
        <v>15</v>
      </c>
      <c r="B33" s="227" t="s">
        <v>87</v>
      </c>
      <c r="C33" s="82" t="s">
        <v>86</v>
      </c>
      <c r="D33" s="127">
        <f>SUM(D34:D37)</f>
        <v>27762.799999999999</v>
      </c>
      <c r="E33" s="127">
        <f>SUM(E34:E37)</f>
        <v>27762.799999999999</v>
      </c>
      <c r="F33" s="128">
        <f t="shared" si="9"/>
        <v>12336.046999999999</v>
      </c>
      <c r="G33" s="127">
        <f t="shared" ref="G33:M33" si="21">SUM(G34:G37)</f>
        <v>2016.3869999999997</v>
      </c>
      <c r="H33" s="215">
        <f t="shared" ref="H33:J33" si="22">SUM(H34:H37)</f>
        <v>2147.1390000000001</v>
      </c>
      <c r="I33" s="215">
        <f t="shared" si="22"/>
        <v>2556.277</v>
      </c>
      <c r="J33" s="215">
        <f t="shared" si="22"/>
        <v>2848.3900000000003</v>
      </c>
      <c r="K33" s="127">
        <f t="shared" si="21"/>
        <v>2767.8540000000003</v>
      </c>
      <c r="L33" s="131">
        <f t="shared" si="18"/>
        <v>44.433727866065382</v>
      </c>
      <c r="M33" s="129">
        <f t="shared" si="21"/>
        <v>11784.599999999999</v>
      </c>
      <c r="N33" s="130">
        <f t="shared" si="6"/>
        <v>551.44700000000012</v>
      </c>
      <c r="O33" s="131">
        <f t="shared" si="20"/>
        <v>104.67938665716274</v>
      </c>
      <c r="P33" s="128">
        <f t="shared" ref="P33" si="23">SUM(P34:P37)</f>
        <v>9211.5769999999993</v>
      </c>
      <c r="Q33" s="130">
        <f t="shared" si="8"/>
        <v>3124.4699999999993</v>
      </c>
      <c r="R33" s="131">
        <f t="shared" ref="R33:R39" si="24">F33/P33*100</f>
        <v>133.91894786310746</v>
      </c>
    </row>
    <row r="34" spans="1:25" s="89" customFormat="1" ht="58.5" x14ac:dyDescent="0.25">
      <c r="A34" s="86" t="s">
        <v>168</v>
      </c>
      <c r="B34" s="146" t="s">
        <v>79</v>
      </c>
      <c r="C34" s="155" t="s">
        <v>78</v>
      </c>
      <c r="D34" s="132">
        <v>1300</v>
      </c>
      <c r="E34" s="132">
        <v>1300</v>
      </c>
      <c r="F34" s="133">
        <f t="shared" si="9"/>
        <v>606.38699999999994</v>
      </c>
      <c r="G34" s="132">
        <v>91.153999999999996</v>
      </c>
      <c r="H34" s="220">
        <v>123.64400000000001</v>
      </c>
      <c r="I34" s="220">
        <v>141.91800000000001</v>
      </c>
      <c r="J34" s="220">
        <v>141.23099999999999</v>
      </c>
      <c r="K34" s="132">
        <v>108.44</v>
      </c>
      <c r="L34" s="136">
        <f t="shared" si="18"/>
        <v>46.645153846153839</v>
      </c>
      <c r="M34" s="134">
        <v>586</v>
      </c>
      <c r="N34" s="135">
        <f t="shared" si="6"/>
        <v>20.386999999999944</v>
      </c>
      <c r="O34" s="136">
        <f t="shared" si="20"/>
        <v>103.47901023890785</v>
      </c>
      <c r="P34" s="133">
        <v>460.70800000000003</v>
      </c>
      <c r="Q34" s="135">
        <f t="shared" si="8"/>
        <v>145.67899999999992</v>
      </c>
      <c r="R34" s="136">
        <f t="shared" si="24"/>
        <v>131.62067947593701</v>
      </c>
      <c r="S34" s="136">
        <f>R34-100</f>
        <v>31.62067947593701</v>
      </c>
      <c r="T34" s="87"/>
    </row>
    <row r="35" spans="1:25" s="89" customFormat="1" ht="34.5" customHeight="1" x14ac:dyDescent="0.25">
      <c r="A35" s="86" t="s">
        <v>169</v>
      </c>
      <c r="B35" s="147" t="s">
        <v>60</v>
      </c>
      <c r="C35" s="72" t="s">
        <v>61</v>
      </c>
      <c r="D35" s="132">
        <v>24922.799999999999</v>
      </c>
      <c r="E35" s="132">
        <v>24922.799999999999</v>
      </c>
      <c r="F35" s="133">
        <f t="shared" si="9"/>
        <v>11144.460999999999</v>
      </c>
      <c r="G35" s="132">
        <v>1816.0039999999999</v>
      </c>
      <c r="H35" s="220">
        <v>1889.2049999999999</v>
      </c>
      <c r="I35" s="220">
        <v>2281.4290000000001</v>
      </c>
      <c r="J35" s="220">
        <v>2605.2289999999998</v>
      </c>
      <c r="K35" s="132">
        <v>2552.5940000000001</v>
      </c>
      <c r="L35" s="136">
        <f t="shared" si="18"/>
        <v>44.715926781902517</v>
      </c>
      <c r="M35" s="134">
        <v>10634.4</v>
      </c>
      <c r="N35" s="135">
        <f t="shared" si="6"/>
        <v>510.06099999999969</v>
      </c>
      <c r="O35" s="136">
        <f t="shared" si="20"/>
        <v>104.79633077559618</v>
      </c>
      <c r="P35" s="133">
        <v>8250.878999999999</v>
      </c>
      <c r="Q35" s="135">
        <f t="shared" si="8"/>
        <v>2893.5820000000003</v>
      </c>
      <c r="R35" s="136">
        <f t="shared" si="24"/>
        <v>135.06998466466422</v>
      </c>
      <c r="S35" s="136">
        <f>R35-100</f>
        <v>35.069984664664219</v>
      </c>
      <c r="T35" s="88"/>
    </row>
    <row r="36" spans="1:25" s="89" customFormat="1" ht="48.75" customHeight="1" x14ac:dyDescent="0.25">
      <c r="A36" s="86" t="s">
        <v>170</v>
      </c>
      <c r="B36" s="147" t="s">
        <v>83</v>
      </c>
      <c r="C36" s="72" t="s">
        <v>80</v>
      </c>
      <c r="D36" s="132">
        <v>1400</v>
      </c>
      <c r="E36" s="132">
        <v>1400</v>
      </c>
      <c r="F36" s="133">
        <f t="shared" si="9"/>
        <v>558.79899999999998</v>
      </c>
      <c r="G36" s="132">
        <v>106.899</v>
      </c>
      <c r="H36" s="220">
        <v>124.08</v>
      </c>
      <c r="I36" s="220">
        <v>126.35</v>
      </c>
      <c r="J36" s="220">
        <v>100.11</v>
      </c>
      <c r="K36" s="132">
        <v>101.36</v>
      </c>
      <c r="L36" s="136">
        <f t="shared" si="18"/>
        <v>39.91421428571428</v>
      </c>
      <c r="M36" s="134">
        <v>537.79999999999995</v>
      </c>
      <c r="N36" s="135">
        <f t="shared" si="6"/>
        <v>20.999000000000024</v>
      </c>
      <c r="O36" s="136">
        <f t="shared" si="20"/>
        <v>103.90461137969507</v>
      </c>
      <c r="P36" s="133">
        <v>447.887</v>
      </c>
      <c r="Q36" s="135">
        <f t="shared" si="8"/>
        <v>110.91199999999998</v>
      </c>
      <c r="R36" s="136">
        <f t="shared" si="24"/>
        <v>124.76338897980963</v>
      </c>
    </row>
    <row r="37" spans="1:25" s="89" customFormat="1" ht="117" x14ac:dyDescent="0.25">
      <c r="A37" s="86" t="s">
        <v>171</v>
      </c>
      <c r="B37" s="148" t="s">
        <v>82</v>
      </c>
      <c r="C37" s="72" t="s">
        <v>81</v>
      </c>
      <c r="D37" s="132">
        <v>140</v>
      </c>
      <c r="E37" s="132">
        <v>140</v>
      </c>
      <c r="F37" s="133">
        <f t="shared" si="9"/>
        <v>26.400000000000002</v>
      </c>
      <c r="G37" s="132">
        <v>2.33</v>
      </c>
      <c r="H37" s="220">
        <v>10.210000000000001</v>
      </c>
      <c r="I37" s="220">
        <v>6.58</v>
      </c>
      <c r="J37" s="220">
        <v>1.82</v>
      </c>
      <c r="K37" s="132">
        <v>5.46</v>
      </c>
      <c r="L37" s="136">
        <f t="shared" si="18"/>
        <v>18.857142857142858</v>
      </c>
      <c r="M37" s="134">
        <v>26.4</v>
      </c>
      <c r="N37" s="135">
        <f t="shared" si="6"/>
        <v>0</v>
      </c>
      <c r="O37" s="136">
        <f t="shared" si="20"/>
        <v>100.00000000000003</v>
      </c>
      <c r="P37" s="133">
        <v>52.103000000000002</v>
      </c>
      <c r="Q37" s="135">
        <f t="shared" si="8"/>
        <v>-25.702999999999999</v>
      </c>
      <c r="R37" s="136">
        <f t="shared" si="24"/>
        <v>50.668867435656296</v>
      </c>
    </row>
    <row r="38" spans="1:25" s="85" customFormat="1" ht="64.5" customHeight="1" x14ac:dyDescent="0.25">
      <c r="A38" s="81">
        <v>16</v>
      </c>
      <c r="B38" s="238" t="s">
        <v>34</v>
      </c>
      <c r="C38" s="82" t="s">
        <v>19</v>
      </c>
      <c r="D38" s="127">
        <v>12000</v>
      </c>
      <c r="E38" s="127">
        <v>12000</v>
      </c>
      <c r="F38" s="128">
        <f t="shared" si="9"/>
        <v>4743.1910000000007</v>
      </c>
      <c r="G38" s="127">
        <v>886.822</v>
      </c>
      <c r="H38" s="215">
        <v>956.88</v>
      </c>
      <c r="I38" s="215">
        <v>1008.902</v>
      </c>
      <c r="J38" s="215">
        <v>874.19399999999996</v>
      </c>
      <c r="K38" s="127">
        <v>1016.393</v>
      </c>
      <c r="L38" s="131">
        <f t="shared" si="18"/>
        <v>39.526591666666668</v>
      </c>
      <c r="M38" s="129">
        <v>4414.3</v>
      </c>
      <c r="N38" s="130">
        <f t="shared" si="6"/>
        <v>328.89100000000053</v>
      </c>
      <c r="O38" s="131">
        <f t="shared" si="20"/>
        <v>107.4505810660807</v>
      </c>
      <c r="P38" s="128">
        <v>5330.4069999999992</v>
      </c>
      <c r="Q38" s="130">
        <f t="shared" si="8"/>
        <v>-587.21599999999853</v>
      </c>
      <c r="R38" s="131">
        <f t="shared" si="24"/>
        <v>88.983655469460416</v>
      </c>
    </row>
    <row r="39" spans="1:25" s="85" customFormat="1" ht="36.75" customHeight="1" x14ac:dyDescent="0.25">
      <c r="A39" s="81">
        <f t="shared" ref="A39:A46" si="25">A38+1</f>
        <v>17</v>
      </c>
      <c r="B39" s="90" t="s">
        <v>54</v>
      </c>
      <c r="C39" s="82" t="s">
        <v>15</v>
      </c>
      <c r="D39" s="127">
        <v>600.5</v>
      </c>
      <c r="E39" s="127">
        <v>600.5</v>
      </c>
      <c r="F39" s="128">
        <f t="shared" si="9"/>
        <v>188.029</v>
      </c>
      <c r="G39" s="127">
        <v>33.802</v>
      </c>
      <c r="H39" s="215">
        <v>36.165999999999997</v>
      </c>
      <c r="I39" s="215">
        <v>43.429000000000002</v>
      </c>
      <c r="J39" s="215">
        <v>38.436999999999998</v>
      </c>
      <c r="K39" s="127">
        <v>36.195</v>
      </c>
      <c r="L39" s="131">
        <f t="shared" si="18"/>
        <v>31.312073272273107</v>
      </c>
      <c r="M39" s="129">
        <v>185.92500000000001</v>
      </c>
      <c r="N39" s="130">
        <f t="shared" si="6"/>
        <v>2.103999999999985</v>
      </c>
      <c r="O39" s="131">
        <f t="shared" si="20"/>
        <v>101.13163910178835</v>
      </c>
      <c r="P39" s="128">
        <v>207.32900000000001</v>
      </c>
      <c r="Q39" s="130">
        <f t="shared" ref="Q39:Q66" si="26">F39-P39</f>
        <v>-19.300000000000011</v>
      </c>
      <c r="R39" s="131">
        <f t="shared" si="24"/>
        <v>90.691123769467836</v>
      </c>
      <c r="S39" s="84">
        <f>100-R39</f>
        <v>9.3088762305321637</v>
      </c>
    </row>
    <row r="40" spans="1:25" s="85" customFormat="1" ht="97.5" x14ac:dyDescent="0.25">
      <c r="A40" s="81">
        <f t="shared" si="25"/>
        <v>18</v>
      </c>
      <c r="B40" s="90" t="s">
        <v>104</v>
      </c>
      <c r="C40" s="82" t="s">
        <v>103</v>
      </c>
      <c r="D40" s="127">
        <v>2.5499999999999998</v>
      </c>
      <c r="E40" s="127">
        <v>2.5499999999999998</v>
      </c>
      <c r="F40" s="128">
        <f t="shared" si="9"/>
        <v>0</v>
      </c>
      <c r="G40" s="127">
        <v>0</v>
      </c>
      <c r="H40" s="215">
        <v>0</v>
      </c>
      <c r="I40" s="215">
        <v>0</v>
      </c>
      <c r="J40" s="215">
        <v>0</v>
      </c>
      <c r="K40" s="127">
        <v>0</v>
      </c>
      <c r="L40" s="219">
        <f t="shared" si="18"/>
        <v>0</v>
      </c>
      <c r="M40" s="129">
        <v>0</v>
      </c>
      <c r="N40" s="130">
        <f t="shared" si="6"/>
        <v>0</v>
      </c>
      <c r="O40" s="131"/>
      <c r="P40" s="128">
        <v>0</v>
      </c>
      <c r="Q40" s="130">
        <f t="shared" si="26"/>
        <v>0</v>
      </c>
      <c r="R40" s="131"/>
    </row>
    <row r="41" spans="1:25" s="85" customFormat="1" ht="39" x14ac:dyDescent="0.25">
      <c r="A41" s="81">
        <f t="shared" si="25"/>
        <v>19</v>
      </c>
      <c r="B41" s="113" t="s">
        <v>62</v>
      </c>
      <c r="C41" s="34" t="s">
        <v>63</v>
      </c>
      <c r="D41" s="127">
        <v>70</v>
      </c>
      <c r="E41" s="127">
        <v>70</v>
      </c>
      <c r="F41" s="128">
        <f t="shared" si="9"/>
        <v>0</v>
      </c>
      <c r="G41" s="127">
        <v>0</v>
      </c>
      <c r="H41" s="215">
        <v>0</v>
      </c>
      <c r="I41" s="215">
        <v>0</v>
      </c>
      <c r="J41" s="215">
        <v>0</v>
      </c>
      <c r="K41" s="127">
        <v>0</v>
      </c>
      <c r="L41" s="131">
        <f t="shared" si="18"/>
        <v>0</v>
      </c>
      <c r="M41" s="129">
        <v>0</v>
      </c>
      <c r="N41" s="130">
        <f t="shared" si="6"/>
        <v>0</v>
      </c>
      <c r="O41" s="131"/>
      <c r="P41" s="128">
        <v>0</v>
      </c>
      <c r="Q41" s="130">
        <f t="shared" si="26"/>
        <v>0</v>
      </c>
      <c r="R41" s="131"/>
    </row>
    <row r="42" spans="1:25" s="85" customFormat="1" ht="38.25" customHeight="1" x14ac:dyDescent="0.25">
      <c r="A42" s="209">
        <f t="shared" si="25"/>
        <v>20</v>
      </c>
      <c r="B42" s="90" t="s">
        <v>8</v>
      </c>
      <c r="C42" s="82" t="s">
        <v>20</v>
      </c>
      <c r="D42" s="127">
        <v>1400</v>
      </c>
      <c r="E42" s="127">
        <v>1400</v>
      </c>
      <c r="F42" s="128">
        <f t="shared" si="9"/>
        <v>723.06200000000001</v>
      </c>
      <c r="G42" s="127">
        <v>161.375</v>
      </c>
      <c r="H42" s="215">
        <v>156.32300000000001</v>
      </c>
      <c r="I42" s="215">
        <v>144.40100000000001</v>
      </c>
      <c r="J42" s="215">
        <v>126.51600000000001</v>
      </c>
      <c r="K42" s="127">
        <v>134.447</v>
      </c>
      <c r="L42" s="131">
        <f t="shared" si="18"/>
        <v>51.647285714285715</v>
      </c>
      <c r="M42" s="129">
        <v>677</v>
      </c>
      <c r="N42" s="130">
        <f t="shared" ref="N42:N64" si="27">F42-M42</f>
        <v>46.062000000000012</v>
      </c>
      <c r="O42" s="131">
        <f>F42/M42*100</f>
        <v>106.80384047267357</v>
      </c>
      <c r="P42" s="128">
        <v>827.74200000000008</v>
      </c>
      <c r="Q42" s="130">
        <f t="shared" si="26"/>
        <v>-104.68000000000006</v>
      </c>
      <c r="R42" s="131">
        <f>F42/P42*100</f>
        <v>87.353547361375888</v>
      </c>
      <c r="V42" s="85">
        <v>246438.04</v>
      </c>
    </row>
    <row r="43" spans="1:25" s="85" customFormat="1" ht="78" x14ac:dyDescent="0.25">
      <c r="A43" s="209">
        <f t="shared" si="25"/>
        <v>21</v>
      </c>
      <c r="B43" s="90" t="s">
        <v>164</v>
      </c>
      <c r="C43" s="82" t="s">
        <v>163</v>
      </c>
      <c r="D43" s="127"/>
      <c r="E43" s="127"/>
      <c r="F43" s="216">
        <f t="shared" si="9"/>
        <v>0</v>
      </c>
      <c r="G43" s="127">
        <v>0</v>
      </c>
      <c r="H43" s="215">
        <v>0</v>
      </c>
      <c r="I43" s="215">
        <v>0</v>
      </c>
      <c r="J43" s="215">
        <v>0</v>
      </c>
      <c r="K43" s="127">
        <v>0</v>
      </c>
      <c r="L43" s="131"/>
      <c r="M43" s="129">
        <v>0</v>
      </c>
      <c r="N43" s="130">
        <f t="shared" si="27"/>
        <v>0</v>
      </c>
      <c r="O43" s="131"/>
      <c r="P43" s="128">
        <v>87.876999999999995</v>
      </c>
      <c r="Q43" s="218">
        <f t="shared" si="26"/>
        <v>-87.876999999999995</v>
      </c>
      <c r="R43" s="131"/>
    </row>
    <row r="44" spans="1:25" s="85" customFormat="1" ht="175.5" x14ac:dyDescent="0.25">
      <c r="A44" s="209">
        <f t="shared" si="25"/>
        <v>22</v>
      </c>
      <c r="B44" s="90" t="s">
        <v>53</v>
      </c>
      <c r="C44" s="82" t="s">
        <v>47</v>
      </c>
      <c r="D44" s="127">
        <v>1000</v>
      </c>
      <c r="E44" s="127">
        <v>1000</v>
      </c>
      <c r="F44" s="128">
        <f t="shared" si="9"/>
        <v>415.452</v>
      </c>
      <c r="G44" s="127">
        <v>2.294</v>
      </c>
      <c r="H44" s="215">
        <v>266.43799999999999</v>
      </c>
      <c r="I44" s="215">
        <v>61.570999999999998</v>
      </c>
      <c r="J44" s="215">
        <v>32.951000000000001</v>
      </c>
      <c r="K44" s="127">
        <v>52.198</v>
      </c>
      <c r="L44" s="131">
        <f>F44/E44*100</f>
        <v>41.545200000000001</v>
      </c>
      <c r="M44" s="129">
        <v>412.3</v>
      </c>
      <c r="N44" s="130">
        <f t="shared" si="27"/>
        <v>3.1519999999999868</v>
      </c>
      <c r="O44" s="131">
        <f>F44/M44*100</f>
        <v>100.76449187484842</v>
      </c>
      <c r="P44" s="128">
        <v>547.12599999999998</v>
      </c>
      <c r="Q44" s="130">
        <f t="shared" si="26"/>
        <v>-131.67399999999998</v>
      </c>
      <c r="R44" s="131">
        <f>F44/P44*100</f>
        <v>75.933514400704766</v>
      </c>
    </row>
    <row r="45" spans="1:25" s="85" customFormat="1" ht="86.25" customHeight="1" x14ac:dyDescent="0.25">
      <c r="A45" s="81">
        <f t="shared" si="25"/>
        <v>23</v>
      </c>
      <c r="B45" s="90" t="s">
        <v>134</v>
      </c>
      <c r="C45" s="82" t="s">
        <v>133</v>
      </c>
      <c r="D45" s="127">
        <v>15</v>
      </c>
      <c r="E45" s="127">
        <v>15</v>
      </c>
      <c r="F45" s="128">
        <f t="shared" si="9"/>
        <v>0</v>
      </c>
      <c r="G45" s="127">
        <v>0</v>
      </c>
      <c r="H45" s="215">
        <v>0</v>
      </c>
      <c r="I45" s="215">
        <v>0</v>
      </c>
      <c r="J45" s="215">
        <v>0</v>
      </c>
      <c r="K45" s="127">
        <v>0</v>
      </c>
      <c r="L45" s="131">
        <f>F45/E45*100</f>
        <v>0</v>
      </c>
      <c r="M45" s="129">
        <v>0</v>
      </c>
      <c r="N45" s="130">
        <f t="shared" si="27"/>
        <v>0</v>
      </c>
      <c r="O45" s="131"/>
      <c r="P45" s="128">
        <v>3.7660000000000005</v>
      </c>
      <c r="Q45" s="130">
        <f t="shared" si="26"/>
        <v>-3.7660000000000005</v>
      </c>
      <c r="R45" s="131"/>
      <c r="T45" s="83">
        <f>F47-F42</f>
        <v>1437716.6579999998</v>
      </c>
      <c r="U45" s="83">
        <f>P47-P42</f>
        <v>1220209.52</v>
      </c>
      <c r="V45" s="84">
        <f>T45/U45</f>
        <v>1.1782539264240455</v>
      </c>
    </row>
    <row r="46" spans="1:25" s="85" customFormat="1" ht="57.75" customHeight="1" x14ac:dyDescent="0.25">
      <c r="A46" s="81">
        <f t="shared" si="25"/>
        <v>24</v>
      </c>
      <c r="B46" s="90" t="s">
        <v>89</v>
      </c>
      <c r="C46" s="82" t="s">
        <v>88</v>
      </c>
      <c r="D46" s="127">
        <v>4.4000000000000004</v>
      </c>
      <c r="E46" s="127">
        <v>4.4000000000000004</v>
      </c>
      <c r="F46" s="128">
        <f t="shared" si="9"/>
        <v>0</v>
      </c>
      <c r="G46" s="127">
        <v>0</v>
      </c>
      <c r="H46" s="215">
        <v>0</v>
      </c>
      <c r="I46" s="215">
        <v>0</v>
      </c>
      <c r="J46" s="215">
        <v>0</v>
      </c>
      <c r="K46" s="127">
        <v>0</v>
      </c>
      <c r="L46" s="131">
        <f>F46/E46*100</f>
        <v>0</v>
      </c>
      <c r="M46" s="129">
        <v>0</v>
      </c>
      <c r="N46" s="130">
        <f t="shared" si="27"/>
        <v>0</v>
      </c>
      <c r="O46" s="131"/>
      <c r="P46" s="128">
        <v>0</v>
      </c>
      <c r="Q46" s="130">
        <f t="shared" si="26"/>
        <v>0</v>
      </c>
      <c r="R46" s="131"/>
    </row>
    <row r="47" spans="1:25" s="96" customFormat="1" ht="41.25" customHeight="1" x14ac:dyDescent="0.3">
      <c r="A47" s="91"/>
      <c r="B47" s="92" t="s">
        <v>159</v>
      </c>
      <c r="C47" s="93"/>
      <c r="D47" s="93">
        <f>D7+D8+D9+D14+D18+D25+D26+D27+D28+D29+D30+D31+D33+D38+D39+D40+D41+D42+D44+D46+D45</f>
        <v>3751621.3889999995</v>
      </c>
      <c r="E47" s="93">
        <f>E7+E8+E9+E14+E18+E25+E26+E27+E28+E29+E30+E31+E33+E38+E39+E40+E41+E42+E44+E46+E45+E32</f>
        <v>3751621.3889999995</v>
      </c>
      <c r="F47" s="93">
        <f t="shared" si="9"/>
        <v>1438439.7199999997</v>
      </c>
      <c r="G47" s="93">
        <f>G7+G8+G9+G14+G18+G25+G26+G27+G28+G29+G30+G31+G33+G38+G39+G40+G41+G42+G44+G46+G45+G32</f>
        <v>237295.24299999996</v>
      </c>
      <c r="H47" s="212">
        <f t="shared" ref="H47:K47" si="28">H7+H8+H9+H14+H18+H25+H26+H27+H28+H29+H30+H31+H33+H38+H39+H40+H41+H42+H44+H46+H45+H32</f>
        <v>305315.03200000001</v>
      </c>
      <c r="I47" s="212">
        <f t="shared" ref="I47:J47" si="29">I7+I8+I9+I14+I18+I25+I26+I27+I28+I29+I30+I31+I33+I38+I39+I40+I41+I42+I44+I46+I45+I32</f>
        <v>276790.201</v>
      </c>
      <c r="J47" s="212">
        <f t="shared" si="29"/>
        <v>310545.73499999999</v>
      </c>
      <c r="K47" s="212">
        <f t="shared" si="28"/>
        <v>308493.50899999996</v>
      </c>
      <c r="L47" s="95">
        <f>F47/E47*100</f>
        <v>38.341814667588778</v>
      </c>
      <c r="M47" s="93">
        <f>M7+M8+M9+M14+M18+M25+M26+M27+M28+M29+M30+M31+M33+M38+M39+M40+M41+M42+M44+M46+M45+M32</f>
        <v>1389243.7600000002</v>
      </c>
      <c r="N47" s="94">
        <f t="shared" si="27"/>
        <v>49195.959999999497</v>
      </c>
      <c r="O47" s="95">
        <f>F47/M47*100</f>
        <v>103.54120431680033</v>
      </c>
      <c r="P47" s="93">
        <f>P7+P8+P9+P14+P18+P25+P26+P27+P28+P29+P30+P31+P33+P38+P39+P40+P41+P42+P44+P46+P45+P24+P43</f>
        <v>1221037.2620000001</v>
      </c>
      <c r="Q47" s="94">
        <f t="shared" si="26"/>
        <v>217402.45799999963</v>
      </c>
      <c r="R47" s="95">
        <f>F47/P47*100</f>
        <v>117.80473575752349</v>
      </c>
      <c r="S47" s="97">
        <v>1221037.2620000001</v>
      </c>
      <c r="T47" s="97">
        <f>S47-P47</f>
        <v>0</v>
      </c>
      <c r="W47" s="97" t="e">
        <f>#REF!-#REF!-#REF!</f>
        <v>#REF!</v>
      </c>
      <c r="Y47" s="96">
        <v>294547.38299999997</v>
      </c>
    </row>
    <row r="48" spans="1:25" s="10" customFormat="1" ht="23.25" x14ac:dyDescent="0.25">
      <c r="A48" s="24">
        <v>1</v>
      </c>
      <c r="B48" s="234" t="s">
        <v>188</v>
      </c>
      <c r="C48" s="25" t="s">
        <v>55</v>
      </c>
      <c r="D48" s="137">
        <v>717803.4</v>
      </c>
      <c r="E48" s="137">
        <v>717803.4</v>
      </c>
      <c r="F48" s="128">
        <f t="shared" si="9"/>
        <v>277903.10000000003</v>
      </c>
      <c r="G48" s="127">
        <v>44804.3</v>
      </c>
      <c r="H48" s="215">
        <v>52312.800000000003</v>
      </c>
      <c r="I48" s="215">
        <v>54480.800000000003</v>
      </c>
      <c r="J48" s="215">
        <v>55203.4</v>
      </c>
      <c r="K48" s="127">
        <v>71101.8</v>
      </c>
      <c r="L48" s="131">
        <f>F48/E48*100</f>
        <v>38.71576813372576</v>
      </c>
      <c r="M48" s="127">
        <v>277903.09999999998</v>
      </c>
      <c r="N48" s="130">
        <f t="shared" si="27"/>
        <v>0</v>
      </c>
      <c r="O48" s="131">
        <f>F48/M48*100</f>
        <v>100.00000000000003</v>
      </c>
      <c r="P48" s="128">
        <v>219769.2</v>
      </c>
      <c r="Q48" s="130">
        <f t="shared" si="26"/>
        <v>58133.900000000023</v>
      </c>
      <c r="R48" s="131">
        <f>F48/P48*100</f>
        <v>126.45225081585592</v>
      </c>
      <c r="S48" s="45"/>
      <c r="T48" s="45"/>
      <c r="U48" s="45"/>
      <c r="V48" s="47"/>
    </row>
    <row r="49" spans="1:22" s="10" customFormat="1" ht="27.75" customHeight="1" x14ac:dyDescent="0.25">
      <c r="A49" s="24">
        <f t="shared" ref="A49:A54" si="30">A48+1</f>
        <v>2</v>
      </c>
      <c r="B49" s="234" t="s">
        <v>189</v>
      </c>
      <c r="C49" s="25" t="s">
        <v>56</v>
      </c>
      <c r="D49" s="137">
        <v>0</v>
      </c>
      <c r="E49" s="137">
        <v>0</v>
      </c>
      <c r="F49" s="128">
        <f t="shared" si="9"/>
        <v>0</v>
      </c>
      <c r="G49" s="127">
        <v>0</v>
      </c>
      <c r="H49" s="215">
        <v>0</v>
      </c>
      <c r="I49" s="215">
        <v>0</v>
      </c>
      <c r="J49" s="215">
        <v>0</v>
      </c>
      <c r="K49" s="127">
        <v>0</v>
      </c>
      <c r="L49" s="131"/>
      <c r="M49" s="127">
        <v>0</v>
      </c>
      <c r="N49" s="130">
        <f t="shared" si="27"/>
        <v>0</v>
      </c>
      <c r="O49" s="131"/>
      <c r="P49" s="128">
        <v>72658.799999999988</v>
      </c>
      <c r="Q49" s="130">
        <f t="shared" si="26"/>
        <v>-72658.799999999988</v>
      </c>
      <c r="R49" s="131">
        <f>F49/P49*100</f>
        <v>0</v>
      </c>
      <c r="S49" s="45"/>
      <c r="T49" s="45"/>
      <c r="U49" s="45"/>
      <c r="V49" s="47"/>
    </row>
    <row r="50" spans="1:22" s="10" customFormat="1" ht="56.25" x14ac:dyDescent="0.25">
      <c r="A50" s="194">
        <f t="shared" si="30"/>
        <v>3</v>
      </c>
      <c r="B50" s="234" t="s">
        <v>190</v>
      </c>
      <c r="C50" s="195" t="s">
        <v>179</v>
      </c>
      <c r="D50" s="222">
        <v>0</v>
      </c>
      <c r="E50" s="222">
        <v>10000</v>
      </c>
      <c r="F50" s="216">
        <f t="shared" si="9"/>
        <v>3516</v>
      </c>
      <c r="G50" s="215">
        <v>0</v>
      </c>
      <c r="H50" s="215">
        <v>0</v>
      </c>
      <c r="I50" s="215">
        <v>0</v>
      </c>
      <c r="J50" s="215">
        <v>0</v>
      </c>
      <c r="K50" s="215">
        <v>3516</v>
      </c>
      <c r="L50" s="219">
        <f>F50/E50*100</f>
        <v>35.160000000000004</v>
      </c>
      <c r="M50" s="215">
        <v>3516</v>
      </c>
      <c r="N50" s="218">
        <f t="shared" si="27"/>
        <v>0</v>
      </c>
      <c r="O50" s="219">
        <f>F50/M50*100</f>
        <v>100</v>
      </c>
      <c r="P50" s="216">
        <v>0</v>
      </c>
      <c r="Q50" s="218">
        <f t="shared" si="26"/>
        <v>3516</v>
      </c>
      <c r="R50" s="219"/>
      <c r="S50" s="45"/>
      <c r="T50" s="45"/>
      <c r="U50" s="45"/>
      <c r="V50" s="47"/>
    </row>
    <row r="51" spans="1:22" s="10" customFormat="1" ht="75" x14ac:dyDescent="0.25">
      <c r="A51" s="194">
        <f t="shared" si="30"/>
        <v>4</v>
      </c>
      <c r="B51" s="235" t="s">
        <v>187</v>
      </c>
      <c r="C51" s="156" t="s">
        <v>120</v>
      </c>
      <c r="D51" s="137">
        <v>0</v>
      </c>
      <c r="E51" s="137">
        <v>0</v>
      </c>
      <c r="F51" s="128">
        <f t="shared" si="9"/>
        <v>0</v>
      </c>
      <c r="G51" s="127">
        <v>0</v>
      </c>
      <c r="H51" s="215">
        <v>0</v>
      </c>
      <c r="I51" s="215">
        <v>0</v>
      </c>
      <c r="J51" s="215">
        <v>0</v>
      </c>
      <c r="K51" s="127">
        <v>0</v>
      </c>
      <c r="L51" s="131"/>
      <c r="M51" s="127">
        <v>0</v>
      </c>
      <c r="N51" s="130">
        <f t="shared" si="27"/>
        <v>0</v>
      </c>
      <c r="O51" s="131"/>
      <c r="P51" s="128">
        <v>8722</v>
      </c>
      <c r="Q51" s="130">
        <f t="shared" si="26"/>
        <v>-8722</v>
      </c>
      <c r="R51" s="131">
        <f>F51/P51*100</f>
        <v>0</v>
      </c>
      <c r="S51" s="45"/>
      <c r="T51" s="45"/>
      <c r="U51" s="45"/>
      <c r="V51" s="47"/>
    </row>
    <row r="52" spans="1:22" s="10" customFormat="1" ht="37.5" x14ac:dyDescent="0.25">
      <c r="A52" s="24">
        <f t="shared" si="30"/>
        <v>5</v>
      </c>
      <c r="B52" s="235" t="s">
        <v>191</v>
      </c>
      <c r="C52" s="156" t="s">
        <v>129</v>
      </c>
      <c r="D52" s="137">
        <v>11474.77</v>
      </c>
      <c r="E52" s="137">
        <v>11474.77</v>
      </c>
      <c r="F52" s="128">
        <f t="shared" si="9"/>
        <v>4442.5480000000007</v>
      </c>
      <c r="G52" s="127">
        <v>716.24</v>
      </c>
      <c r="H52" s="215">
        <v>836.27099999999996</v>
      </c>
      <c r="I52" s="215">
        <v>870.92700000000002</v>
      </c>
      <c r="J52" s="215">
        <v>882.48</v>
      </c>
      <c r="K52" s="127">
        <v>1136.6300000000001</v>
      </c>
      <c r="L52" s="131">
        <f>F52/E52*100</f>
        <v>38.715791253332313</v>
      </c>
      <c r="M52" s="129">
        <v>4442.5479999999998</v>
      </c>
      <c r="N52" s="130">
        <f t="shared" si="27"/>
        <v>0</v>
      </c>
      <c r="O52" s="131">
        <f>F52/M52*100</f>
        <v>100.00000000000003</v>
      </c>
      <c r="P52" s="128">
        <v>2780.9859999999999</v>
      </c>
      <c r="Q52" s="130">
        <f t="shared" si="26"/>
        <v>1661.5620000000008</v>
      </c>
      <c r="R52" s="131">
        <f>F52/P52*100</f>
        <v>159.74722634346239</v>
      </c>
    </row>
    <row r="53" spans="1:22" s="10" customFormat="1" ht="56.25" x14ac:dyDescent="0.25">
      <c r="A53" s="24">
        <f t="shared" si="30"/>
        <v>6</v>
      </c>
      <c r="B53" s="235" t="s">
        <v>192</v>
      </c>
      <c r="C53" s="156">
        <v>41051200</v>
      </c>
      <c r="D53" s="137">
        <v>4100.6319999999996</v>
      </c>
      <c r="E53" s="137">
        <v>4100.6319999999996</v>
      </c>
      <c r="F53" s="128">
        <f t="shared" si="9"/>
        <v>1133.4770000000001</v>
      </c>
      <c r="G53" s="127">
        <v>203.22900000000001</v>
      </c>
      <c r="H53" s="215">
        <v>203.22900000000001</v>
      </c>
      <c r="I53" s="215">
        <v>203.22900000000001</v>
      </c>
      <c r="J53" s="215">
        <v>297.09899999999999</v>
      </c>
      <c r="K53" s="127">
        <v>226.691</v>
      </c>
      <c r="L53" s="131">
        <f>F53/E53*100</f>
        <v>27.641519648678546</v>
      </c>
      <c r="M53" s="129">
        <v>1133.4770000000001</v>
      </c>
      <c r="N53" s="130">
        <f t="shared" si="27"/>
        <v>0</v>
      </c>
      <c r="O53" s="131">
        <f>F53/M53*100</f>
        <v>100</v>
      </c>
      <c r="P53" s="128">
        <v>1887.7</v>
      </c>
      <c r="Q53" s="130">
        <f t="shared" si="26"/>
        <v>-754.22299999999996</v>
      </c>
      <c r="R53" s="131">
        <f>F53/P53*100</f>
        <v>60.0453991630026</v>
      </c>
    </row>
    <row r="54" spans="1:22" s="10" customFormat="1" ht="75" x14ac:dyDescent="0.25">
      <c r="A54" s="194">
        <f t="shared" si="30"/>
        <v>7</v>
      </c>
      <c r="B54" s="235" t="s">
        <v>193</v>
      </c>
      <c r="C54" s="156" t="s">
        <v>178</v>
      </c>
      <c r="D54" s="222">
        <v>0</v>
      </c>
      <c r="E54" s="222">
        <v>0</v>
      </c>
      <c r="F54" s="216">
        <f t="shared" si="9"/>
        <v>0</v>
      </c>
      <c r="G54" s="215">
        <v>0</v>
      </c>
      <c r="H54" s="215">
        <v>0</v>
      </c>
      <c r="I54" s="215">
        <v>0</v>
      </c>
      <c r="J54" s="215">
        <v>0</v>
      </c>
      <c r="K54" s="215">
        <v>0</v>
      </c>
      <c r="L54" s="219"/>
      <c r="M54" s="217">
        <v>0</v>
      </c>
      <c r="N54" s="218">
        <f t="shared" si="27"/>
        <v>0</v>
      </c>
      <c r="O54" s="219"/>
      <c r="P54" s="216">
        <v>1012.492</v>
      </c>
      <c r="Q54" s="218">
        <f t="shared" si="26"/>
        <v>-1012.492</v>
      </c>
      <c r="R54" s="219"/>
    </row>
    <row r="55" spans="1:22" s="10" customFormat="1" ht="56.25" x14ac:dyDescent="0.25">
      <c r="A55" s="258">
        <v>8</v>
      </c>
      <c r="B55" s="235" t="s">
        <v>203</v>
      </c>
      <c r="C55" s="259" t="s">
        <v>109</v>
      </c>
      <c r="D55" s="137">
        <f>SUM(D56:D57)</f>
        <v>0</v>
      </c>
      <c r="E55" s="137">
        <f>SUM(E56:E57)</f>
        <v>0</v>
      </c>
      <c r="F55" s="128">
        <f t="shared" si="9"/>
        <v>0</v>
      </c>
      <c r="G55" s="127">
        <f>SUM(G56:G57)</f>
        <v>0</v>
      </c>
      <c r="H55" s="215">
        <v>0</v>
      </c>
      <c r="I55" s="215">
        <v>0</v>
      </c>
      <c r="J55" s="215">
        <v>0</v>
      </c>
      <c r="K55" s="127">
        <v>0</v>
      </c>
      <c r="L55" s="131"/>
      <c r="M55" s="129">
        <f>SUM(M56:M57)</f>
        <v>0</v>
      </c>
      <c r="N55" s="130">
        <f t="shared" si="27"/>
        <v>0</v>
      </c>
      <c r="O55" s="131"/>
      <c r="P55" s="128">
        <f>SUM(P56:P57)</f>
        <v>5611.1930000000002</v>
      </c>
      <c r="Q55" s="130">
        <f t="shared" si="26"/>
        <v>-5611.1930000000002</v>
      </c>
      <c r="R55" s="131">
        <f>F55/P55*100</f>
        <v>0</v>
      </c>
    </row>
    <row r="56" spans="1:22" s="44" customFormat="1" ht="75" hidden="1" x14ac:dyDescent="0.25">
      <c r="A56" s="258"/>
      <c r="B56" s="236" t="s">
        <v>95</v>
      </c>
      <c r="C56" s="260"/>
      <c r="D56" s="138">
        <v>0</v>
      </c>
      <c r="E56" s="138">
        <v>0</v>
      </c>
      <c r="F56" s="133">
        <f t="shared" si="9"/>
        <v>0</v>
      </c>
      <c r="G56" s="132">
        <v>0</v>
      </c>
      <c r="H56" s="220">
        <v>0</v>
      </c>
      <c r="I56" s="220">
        <v>0</v>
      </c>
      <c r="J56" s="220">
        <v>0</v>
      </c>
      <c r="K56" s="132">
        <v>0</v>
      </c>
      <c r="L56" s="136"/>
      <c r="M56" s="134">
        <v>0</v>
      </c>
      <c r="N56" s="135">
        <f t="shared" si="27"/>
        <v>0</v>
      </c>
      <c r="O56" s="136"/>
      <c r="P56" s="133">
        <v>3462.7930000000001</v>
      </c>
      <c r="Q56" s="135">
        <f t="shared" si="26"/>
        <v>-3462.7930000000001</v>
      </c>
      <c r="R56" s="136">
        <f>F56/P56*100</f>
        <v>0</v>
      </c>
    </row>
    <row r="57" spans="1:22" s="44" customFormat="1" ht="37.5" hidden="1" x14ac:dyDescent="0.25">
      <c r="A57" s="258"/>
      <c r="B57" s="236" t="s">
        <v>105</v>
      </c>
      <c r="C57" s="261"/>
      <c r="D57" s="138">
        <v>0</v>
      </c>
      <c r="E57" s="138">
        <f t="shared" ref="E57" si="31">D57</f>
        <v>0</v>
      </c>
      <c r="F57" s="133">
        <f t="shared" si="9"/>
        <v>0</v>
      </c>
      <c r="G57" s="132">
        <v>0</v>
      </c>
      <c r="H57" s="220">
        <v>0</v>
      </c>
      <c r="I57" s="220">
        <v>0</v>
      </c>
      <c r="J57" s="220">
        <v>0</v>
      </c>
      <c r="K57" s="132">
        <v>0</v>
      </c>
      <c r="L57" s="136"/>
      <c r="M57" s="134">
        <v>0</v>
      </c>
      <c r="N57" s="135">
        <f t="shared" si="27"/>
        <v>0</v>
      </c>
      <c r="O57" s="136"/>
      <c r="P57" s="133">
        <v>2148.4</v>
      </c>
      <c r="Q57" s="135">
        <f t="shared" si="26"/>
        <v>-2148.4</v>
      </c>
      <c r="R57" s="136">
        <f>F57/P57*100</f>
        <v>0</v>
      </c>
      <c r="U57" s="44" t="e">
        <f>S57/#REF!*100</f>
        <v>#REF!</v>
      </c>
    </row>
    <row r="58" spans="1:22" s="44" customFormat="1" ht="75" x14ac:dyDescent="0.25">
      <c r="A58" s="194">
        <v>9</v>
      </c>
      <c r="B58" s="235" t="s">
        <v>194</v>
      </c>
      <c r="C58" s="156">
        <v>41051700</v>
      </c>
      <c r="D58" s="222">
        <v>0</v>
      </c>
      <c r="E58" s="222">
        <v>0</v>
      </c>
      <c r="F58" s="216">
        <f t="shared" si="9"/>
        <v>0</v>
      </c>
      <c r="G58" s="215">
        <v>0</v>
      </c>
      <c r="H58" s="215">
        <v>0</v>
      </c>
      <c r="I58" s="215">
        <v>0</v>
      </c>
      <c r="J58" s="215">
        <v>0</v>
      </c>
      <c r="K58" s="215">
        <v>0</v>
      </c>
      <c r="L58" s="221"/>
      <c r="M58" s="215">
        <v>0</v>
      </c>
      <c r="N58" s="215">
        <v>0</v>
      </c>
      <c r="O58" s="221"/>
      <c r="P58" s="199">
        <v>462.70299999999997</v>
      </c>
      <c r="Q58" s="218">
        <f t="shared" si="26"/>
        <v>-462.70299999999997</v>
      </c>
      <c r="R58" s="221"/>
    </row>
    <row r="59" spans="1:22" s="10" customFormat="1" ht="56.25" x14ac:dyDescent="0.25">
      <c r="A59" s="24">
        <f>A58+1</f>
        <v>10</v>
      </c>
      <c r="B59" s="237" t="s">
        <v>195</v>
      </c>
      <c r="C59" s="156" t="s">
        <v>135</v>
      </c>
      <c r="D59" s="137">
        <v>7100</v>
      </c>
      <c r="E59" s="137">
        <f>7100+2916.268</f>
        <v>10016.268</v>
      </c>
      <c r="F59" s="128">
        <f t="shared" si="9"/>
        <v>7789.5510000000004</v>
      </c>
      <c r="G59" s="127">
        <v>1183.3330000000001</v>
      </c>
      <c r="H59" s="215">
        <v>1183.3330000000001</v>
      </c>
      <c r="I59" s="215">
        <v>1183.3330000000001</v>
      </c>
      <c r="J59" s="215">
        <v>1183.3330000000001</v>
      </c>
      <c r="K59" s="127">
        <v>3056.2190000000001</v>
      </c>
      <c r="L59" s="131">
        <f t="shared" ref="L59:L65" si="32">F59/E59*100</f>
        <v>77.768995398286066</v>
      </c>
      <c r="M59" s="129">
        <v>7789.5510000000004</v>
      </c>
      <c r="N59" s="130">
        <f t="shared" si="27"/>
        <v>0</v>
      </c>
      <c r="O59" s="131">
        <f t="shared" ref="O59:O64" si="33">F59/M59*100</f>
        <v>100</v>
      </c>
      <c r="P59" s="128">
        <v>4068.9</v>
      </c>
      <c r="Q59" s="130">
        <f t="shared" si="26"/>
        <v>3720.6510000000003</v>
      </c>
      <c r="R59" s="219">
        <f>F59/P59*100</f>
        <v>191.44120032441202</v>
      </c>
      <c r="S59" s="128"/>
      <c r="T59" s="128"/>
    </row>
    <row r="60" spans="1:22" s="10" customFormat="1" ht="23.25" x14ac:dyDescent="0.25">
      <c r="A60" s="194">
        <f>A59+1</f>
        <v>11</v>
      </c>
      <c r="B60" s="237" t="s">
        <v>196</v>
      </c>
      <c r="C60" s="156" t="s">
        <v>121</v>
      </c>
      <c r="D60" s="137">
        <f>SUM(D61:D66)</f>
        <v>3644</v>
      </c>
      <c r="E60" s="137">
        <f>SUM(E61:E66)</f>
        <v>4151.1219999999994</v>
      </c>
      <c r="F60" s="128">
        <f t="shared" si="9"/>
        <v>1075.318</v>
      </c>
      <c r="G60" s="127">
        <f t="shared" ref="G60:M60" si="34">SUM(G61:G66)</f>
        <v>0</v>
      </c>
      <c r="H60" s="215">
        <f t="shared" si="34"/>
        <v>57.276000000000003</v>
      </c>
      <c r="I60" s="215">
        <f t="shared" si="34"/>
        <v>466.01400000000001</v>
      </c>
      <c r="J60" s="215">
        <f t="shared" si="34"/>
        <v>231.05500000000001</v>
      </c>
      <c r="K60" s="127">
        <f>SUM(K61:K66)</f>
        <v>320.97299999999996</v>
      </c>
      <c r="L60" s="131">
        <f t="shared" si="32"/>
        <v>25.904273591573556</v>
      </c>
      <c r="M60" s="127">
        <f t="shared" si="34"/>
        <v>1828.242</v>
      </c>
      <c r="N60" s="130">
        <f t="shared" si="27"/>
        <v>-752.92399999999998</v>
      </c>
      <c r="O60" s="131">
        <f t="shared" si="33"/>
        <v>58.817049384053099</v>
      </c>
      <c r="P60" s="128">
        <f t="shared" ref="P60" si="35">SUM(P61:P63)</f>
        <v>536.88</v>
      </c>
      <c r="Q60" s="130">
        <f t="shared" si="26"/>
        <v>538.43799999999999</v>
      </c>
      <c r="R60" s="131">
        <f>F60/P60*100</f>
        <v>200.2901952019073</v>
      </c>
      <c r="S60" s="128">
        <v>5098.8379999999997</v>
      </c>
      <c r="T60" s="128">
        <f>S60-P60</f>
        <v>4561.9579999999996</v>
      </c>
    </row>
    <row r="61" spans="1:22" s="44" customFormat="1" ht="56.25" x14ac:dyDescent="0.25">
      <c r="A61" s="43" t="s">
        <v>180</v>
      </c>
      <c r="B61" s="157" t="s">
        <v>197</v>
      </c>
      <c r="C61" s="112"/>
      <c r="D61" s="138">
        <v>105</v>
      </c>
      <c r="E61" s="138">
        <v>105</v>
      </c>
      <c r="F61" s="133">
        <f t="shared" si="9"/>
        <v>43.759</v>
      </c>
      <c r="G61" s="132">
        <v>0</v>
      </c>
      <c r="H61" s="220">
        <v>0</v>
      </c>
      <c r="I61" s="220">
        <v>26.254999999999999</v>
      </c>
      <c r="J61" s="220">
        <v>5.5039999999999996</v>
      </c>
      <c r="K61" s="132">
        <f>12</f>
        <v>12</v>
      </c>
      <c r="L61" s="136">
        <f t="shared" si="32"/>
        <v>41.675238095238093</v>
      </c>
      <c r="M61" s="134">
        <v>43.76</v>
      </c>
      <c r="N61" s="135">
        <f t="shared" si="27"/>
        <v>-9.9999999999766942E-4</v>
      </c>
      <c r="O61" s="136">
        <f t="shared" si="33"/>
        <v>99.997714808043881</v>
      </c>
      <c r="P61" s="133">
        <v>29.689999999999998</v>
      </c>
      <c r="Q61" s="135">
        <f t="shared" si="26"/>
        <v>14.069000000000003</v>
      </c>
      <c r="R61" s="136">
        <f>F61/P61*100</f>
        <v>147.38632536207479</v>
      </c>
    </row>
    <row r="62" spans="1:22" s="44" customFormat="1" ht="56.25" x14ac:dyDescent="0.25">
      <c r="A62" s="43" t="s">
        <v>181</v>
      </c>
      <c r="B62" s="157" t="s">
        <v>198</v>
      </c>
      <c r="C62" s="112"/>
      <c r="D62" s="138">
        <v>1246.7</v>
      </c>
      <c r="E62" s="138">
        <v>1246.7</v>
      </c>
      <c r="F62" s="133">
        <f t="shared" si="9"/>
        <v>378.29999999999995</v>
      </c>
      <c r="G62" s="132">
        <v>0</v>
      </c>
      <c r="H62" s="220">
        <v>57.276000000000003</v>
      </c>
      <c r="I62" s="220">
        <v>61.982999999999997</v>
      </c>
      <c r="J62" s="220">
        <v>122.77</v>
      </c>
      <c r="K62" s="132">
        <f>136.271</f>
        <v>136.27099999999999</v>
      </c>
      <c r="L62" s="136">
        <f t="shared" si="32"/>
        <v>30.344108446298222</v>
      </c>
      <c r="M62" s="134">
        <v>381.92399999999998</v>
      </c>
      <c r="N62" s="135">
        <f t="shared" si="27"/>
        <v>-3.6240000000000236</v>
      </c>
      <c r="O62" s="136">
        <f t="shared" si="33"/>
        <v>99.051120118138684</v>
      </c>
      <c r="P62" s="133">
        <v>361.09</v>
      </c>
      <c r="Q62" s="135">
        <f t="shared" si="26"/>
        <v>17.20999999999998</v>
      </c>
      <c r="R62" s="136">
        <f>F62/P62*100</f>
        <v>104.76612478883381</v>
      </c>
    </row>
    <row r="63" spans="1:22" s="44" customFormat="1" ht="93.75" x14ac:dyDescent="0.25">
      <c r="A63" s="43" t="s">
        <v>182</v>
      </c>
      <c r="B63" s="157" t="s">
        <v>199</v>
      </c>
      <c r="C63" s="112"/>
      <c r="D63" s="138">
        <v>292.3</v>
      </c>
      <c r="E63" s="138">
        <v>292.3</v>
      </c>
      <c r="F63" s="133">
        <f t="shared" si="9"/>
        <v>146.137</v>
      </c>
      <c r="G63" s="132">
        <v>0</v>
      </c>
      <c r="H63" s="220">
        <v>0</v>
      </c>
      <c r="I63" s="220">
        <v>146.137</v>
      </c>
      <c r="J63" s="220">
        <v>0</v>
      </c>
      <c r="K63" s="132">
        <v>0</v>
      </c>
      <c r="L63" s="136">
        <f t="shared" si="32"/>
        <v>49.995552514539852</v>
      </c>
      <c r="M63" s="134">
        <v>146.136</v>
      </c>
      <c r="N63" s="135">
        <f t="shared" si="27"/>
        <v>1.0000000000047748E-3</v>
      </c>
      <c r="O63" s="136">
        <f t="shared" si="33"/>
        <v>100.00068429408222</v>
      </c>
      <c r="P63" s="133">
        <v>146.1</v>
      </c>
      <c r="Q63" s="135">
        <f t="shared" si="26"/>
        <v>3.7000000000006139E-2</v>
      </c>
      <c r="R63" s="136">
        <f>F63/P63*100</f>
        <v>100.02532511978097</v>
      </c>
    </row>
    <row r="64" spans="1:22" s="44" customFormat="1" ht="56.25" x14ac:dyDescent="0.25">
      <c r="A64" s="197" t="s">
        <v>183</v>
      </c>
      <c r="B64" s="157" t="s">
        <v>200</v>
      </c>
      <c r="C64" s="112"/>
      <c r="D64" s="138">
        <v>0</v>
      </c>
      <c r="E64" s="138">
        <f>334.42+147.702</f>
        <v>482.12200000000001</v>
      </c>
      <c r="F64" s="199">
        <f t="shared" si="9"/>
        <v>482.12200000000001</v>
      </c>
      <c r="G64" s="132">
        <v>0</v>
      </c>
      <c r="H64" s="220">
        <v>0</v>
      </c>
      <c r="I64" s="220">
        <v>231.63900000000001</v>
      </c>
      <c r="J64" s="220">
        <v>102.78100000000001</v>
      </c>
      <c r="K64" s="132">
        <v>147.702</v>
      </c>
      <c r="L64" s="221">
        <f t="shared" si="32"/>
        <v>100</v>
      </c>
      <c r="M64" s="134">
        <v>482.12200000000001</v>
      </c>
      <c r="N64" s="135">
        <f t="shared" si="27"/>
        <v>0</v>
      </c>
      <c r="O64" s="136">
        <f t="shared" si="33"/>
        <v>100</v>
      </c>
      <c r="P64" s="133">
        <v>0</v>
      </c>
      <c r="Q64" s="135">
        <f t="shared" si="26"/>
        <v>482.12200000000001</v>
      </c>
      <c r="R64" s="136"/>
    </row>
    <row r="65" spans="1:23" s="44" customFormat="1" ht="75" x14ac:dyDescent="0.25">
      <c r="A65" s="197" t="s">
        <v>184</v>
      </c>
      <c r="B65" s="157" t="s">
        <v>201</v>
      </c>
      <c r="C65" s="112"/>
      <c r="D65" s="138">
        <v>2000</v>
      </c>
      <c r="E65" s="138">
        <v>2000</v>
      </c>
      <c r="F65" s="133">
        <f>SUM(G65:K65)</f>
        <v>0</v>
      </c>
      <c r="G65" s="132">
        <v>0</v>
      </c>
      <c r="H65" s="220">
        <v>0</v>
      </c>
      <c r="I65" s="220">
        <v>0</v>
      </c>
      <c r="J65" s="220">
        <v>0</v>
      </c>
      <c r="K65" s="220">
        <v>0</v>
      </c>
      <c r="L65" s="136">
        <f t="shared" si="32"/>
        <v>0</v>
      </c>
      <c r="M65" s="134">
        <v>749.3</v>
      </c>
      <c r="N65" s="135">
        <f>F65-M65</f>
        <v>-749.3</v>
      </c>
      <c r="O65" s="136">
        <f>F65/M65*100</f>
        <v>0</v>
      </c>
      <c r="P65" s="133">
        <v>0</v>
      </c>
      <c r="Q65" s="135">
        <f t="shared" si="26"/>
        <v>0</v>
      </c>
      <c r="R65" s="136"/>
    </row>
    <row r="66" spans="1:23" s="44" customFormat="1" ht="150" x14ac:dyDescent="0.25">
      <c r="A66" s="197" t="s">
        <v>185</v>
      </c>
      <c r="B66" s="157" t="s">
        <v>202</v>
      </c>
      <c r="C66" s="112"/>
      <c r="D66" s="223">
        <v>0</v>
      </c>
      <c r="E66" s="223">
        <v>25</v>
      </c>
      <c r="F66" s="199">
        <f>SUM(G66:K66)</f>
        <v>25</v>
      </c>
      <c r="G66" s="220">
        <v>0</v>
      </c>
      <c r="H66" s="220">
        <v>0</v>
      </c>
      <c r="I66" s="220">
        <v>0</v>
      </c>
      <c r="J66" s="220">
        <v>0</v>
      </c>
      <c r="K66" s="220">
        <v>25</v>
      </c>
      <c r="L66" s="221"/>
      <c r="M66" s="134">
        <v>25</v>
      </c>
      <c r="N66" s="135">
        <f>F66-M66</f>
        <v>0</v>
      </c>
      <c r="O66" s="221">
        <f>F66/M66*100</f>
        <v>100</v>
      </c>
      <c r="P66" s="199">
        <v>0</v>
      </c>
      <c r="Q66" s="135">
        <f t="shared" si="26"/>
        <v>25</v>
      </c>
      <c r="R66" s="221"/>
    </row>
    <row r="67" spans="1:23" s="10" customFormat="1" ht="23.25" hidden="1" x14ac:dyDescent="0.25">
      <c r="A67" s="24"/>
      <c r="B67" s="157"/>
      <c r="C67" s="25"/>
      <c r="D67" s="137"/>
      <c r="E67" s="137"/>
      <c r="F67" s="128"/>
      <c r="G67" s="127"/>
      <c r="H67" s="215"/>
      <c r="I67" s="215"/>
      <c r="J67" s="215"/>
      <c r="K67" s="127"/>
      <c r="L67" s="131"/>
      <c r="M67" s="137"/>
      <c r="N67" s="130"/>
      <c r="O67" s="131"/>
      <c r="P67" s="128"/>
      <c r="Q67" s="135"/>
      <c r="R67" s="131"/>
    </row>
    <row r="68" spans="1:23" s="51" customFormat="1" ht="33.75" customHeight="1" x14ac:dyDescent="0.3">
      <c r="A68" s="48"/>
      <c r="B68" s="52" t="s">
        <v>28</v>
      </c>
      <c r="C68" s="49"/>
      <c r="D68" s="50">
        <f>D71+D70</f>
        <v>744122.80200000003</v>
      </c>
      <c r="E68" s="50">
        <f>E71+E70</f>
        <v>757546.19200000004</v>
      </c>
      <c r="F68" s="50">
        <f t="shared" si="9"/>
        <v>295859.99400000001</v>
      </c>
      <c r="G68" s="50">
        <f t="shared" ref="G68:M68" si="36">G71+G70</f>
        <v>46907.102000000006</v>
      </c>
      <c r="H68" s="204">
        <f t="shared" si="36"/>
        <v>54592.909</v>
      </c>
      <c r="I68" s="204">
        <f t="shared" si="36"/>
        <v>57204.303</v>
      </c>
      <c r="J68" s="204">
        <f t="shared" si="36"/>
        <v>57797.366999999998</v>
      </c>
      <c r="K68" s="50">
        <f t="shared" si="36"/>
        <v>79358.313000000009</v>
      </c>
      <c r="L68" s="95">
        <f>F68/E68*100</f>
        <v>39.055043391994239</v>
      </c>
      <c r="M68" s="50">
        <f t="shared" si="36"/>
        <v>296612.91799999995</v>
      </c>
      <c r="N68" s="94">
        <f>F68-M68</f>
        <v>-752.92399999994086</v>
      </c>
      <c r="O68" s="95">
        <f>F68/M68*100</f>
        <v>99.746159403617099</v>
      </c>
      <c r="P68" s="50">
        <f>P71+P70</f>
        <v>317510.85399999999</v>
      </c>
      <c r="Q68" s="94">
        <f>F68-P68</f>
        <v>-21650.859999999986</v>
      </c>
      <c r="R68" s="95">
        <f>F68/P68*100</f>
        <v>93.181064607007116</v>
      </c>
    </row>
    <row r="69" spans="1:23" s="13" customFormat="1" ht="23.25" hidden="1" x14ac:dyDescent="0.25">
      <c r="A69" s="12"/>
      <c r="B69" s="191" t="s">
        <v>106</v>
      </c>
      <c r="C69" s="11"/>
      <c r="D69" s="139"/>
      <c r="E69" s="139"/>
      <c r="F69" s="140"/>
      <c r="G69" s="139"/>
      <c r="H69" s="224"/>
      <c r="I69" s="224"/>
      <c r="J69" s="224"/>
      <c r="K69" s="139"/>
      <c r="L69" s="100"/>
      <c r="M69" s="139"/>
      <c r="N69" s="130"/>
      <c r="O69" s="131"/>
      <c r="P69" s="140"/>
      <c r="Q69" s="99"/>
      <c r="R69" s="100"/>
    </row>
    <row r="70" spans="1:23" s="13" customFormat="1" ht="30.75" hidden="1" customHeight="1" x14ac:dyDescent="0.25">
      <c r="A70" s="12"/>
      <c r="B70" s="180" t="s">
        <v>122</v>
      </c>
      <c r="C70" s="26"/>
      <c r="D70" s="59">
        <f>D51</f>
        <v>0</v>
      </c>
      <c r="E70" s="59">
        <f>E51</f>
        <v>0</v>
      </c>
      <c r="F70" s="50">
        <f t="shared" si="9"/>
        <v>0</v>
      </c>
      <c r="G70" s="59">
        <f t="shared" ref="G70:M70" si="37">G51</f>
        <v>0</v>
      </c>
      <c r="H70" s="205">
        <f t="shared" si="37"/>
        <v>0</v>
      </c>
      <c r="I70" s="205">
        <f t="shared" si="37"/>
        <v>0</v>
      </c>
      <c r="J70" s="205">
        <f t="shared" si="37"/>
        <v>0</v>
      </c>
      <c r="K70" s="59">
        <f t="shared" si="37"/>
        <v>0</v>
      </c>
      <c r="L70" s="100"/>
      <c r="M70" s="59">
        <f t="shared" si="37"/>
        <v>0</v>
      </c>
      <c r="N70" s="99">
        <f>F70-M70</f>
        <v>0</v>
      </c>
      <c r="O70" s="100"/>
      <c r="P70" s="50">
        <f>P51</f>
        <v>8722</v>
      </c>
      <c r="Q70" s="99">
        <f>F70-P70</f>
        <v>-8722</v>
      </c>
      <c r="R70" s="100">
        <f>F70/P70*100</f>
        <v>0</v>
      </c>
    </row>
    <row r="71" spans="1:23" s="13" customFormat="1" ht="28.5" hidden="1" customHeight="1" x14ac:dyDescent="0.25">
      <c r="A71" s="12"/>
      <c r="B71" s="180" t="s">
        <v>76</v>
      </c>
      <c r="C71" s="26"/>
      <c r="D71" s="59">
        <f>D72+D73</f>
        <v>744122.80200000003</v>
      </c>
      <c r="E71" s="59">
        <f>E72+E73</f>
        <v>757546.19200000004</v>
      </c>
      <c r="F71" s="50">
        <f t="shared" si="9"/>
        <v>295859.99400000001</v>
      </c>
      <c r="G71" s="59">
        <f t="shared" ref="G71:M71" si="38">G72+G73</f>
        <v>46907.102000000006</v>
      </c>
      <c r="H71" s="205">
        <f t="shared" si="38"/>
        <v>54592.909</v>
      </c>
      <c r="I71" s="205">
        <f t="shared" si="38"/>
        <v>57204.303</v>
      </c>
      <c r="J71" s="205">
        <f t="shared" si="38"/>
        <v>57797.366999999998</v>
      </c>
      <c r="K71" s="59">
        <f t="shared" si="38"/>
        <v>79358.313000000009</v>
      </c>
      <c r="L71" s="100">
        <f>F71/E71*100</f>
        <v>39.055043391994239</v>
      </c>
      <c r="M71" s="59">
        <f t="shared" si="38"/>
        <v>296612.91799999995</v>
      </c>
      <c r="N71" s="99">
        <f>F71-M71</f>
        <v>-752.92399999994086</v>
      </c>
      <c r="O71" s="100">
        <f>F71/M71*100</f>
        <v>99.746159403617099</v>
      </c>
      <c r="P71" s="50">
        <f t="shared" ref="P71" si="39">P72+P73</f>
        <v>308788.85399999999</v>
      </c>
      <c r="Q71" s="99">
        <f>F71-P71</f>
        <v>-12928.859999999986</v>
      </c>
      <c r="R71" s="100">
        <f>F71/P71*100</f>
        <v>95.813041878771969</v>
      </c>
    </row>
    <row r="72" spans="1:23" s="8" customFormat="1" ht="30.75" hidden="1" customHeight="1" x14ac:dyDescent="0.25">
      <c r="A72" s="14"/>
      <c r="B72" s="17" t="s">
        <v>111</v>
      </c>
      <c r="C72" s="17"/>
      <c r="D72" s="138">
        <f>D48+D49</f>
        <v>717803.4</v>
      </c>
      <c r="E72" s="138">
        <f>E48+E49+E50</f>
        <v>727803.4</v>
      </c>
      <c r="F72" s="141">
        <f t="shared" si="9"/>
        <v>281419.10000000003</v>
      </c>
      <c r="G72" s="138">
        <f t="shared" ref="G72:M72" si="40">G48+G49+G50</f>
        <v>44804.3</v>
      </c>
      <c r="H72" s="223">
        <f t="shared" si="40"/>
        <v>52312.800000000003</v>
      </c>
      <c r="I72" s="223">
        <f t="shared" si="40"/>
        <v>54480.800000000003</v>
      </c>
      <c r="J72" s="223">
        <f t="shared" ref="J72" si="41">J48+J49+J50</f>
        <v>55203.4</v>
      </c>
      <c r="K72" s="138">
        <f t="shared" si="40"/>
        <v>74617.8</v>
      </c>
      <c r="L72" s="136">
        <f>F72/E72*100</f>
        <v>38.666911971007558</v>
      </c>
      <c r="M72" s="138">
        <f t="shared" si="40"/>
        <v>281419.09999999998</v>
      </c>
      <c r="N72" s="135">
        <f>F72-M72</f>
        <v>0</v>
      </c>
      <c r="O72" s="136">
        <f>F72/M72*100</f>
        <v>100.00000000000003</v>
      </c>
      <c r="P72" s="141">
        <f>P48+P49</f>
        <v>292428</v>
      </c>
      <c r="Q72" s="135">
        <f>F72-P72</f>
        <v>-11008.899999999965</v>
      </c>
      <c r="R72" s="136">
        <f>F72/P72*100</f>
        <v>96.235346820413923</v>
      </c>
    </row>
    <row r="73" spans="1:23" s="8" customFormat="1" ht="30.75" hidden="1" customHeight="1" x14ac:dyDescent="0.25">
      <c r="A73" s="14"/>
      <c r="B73" s="192" t="s">
        <v>110</v>
      </c>
      <c r="C73" s="17"/>
      <c r="D73" s="138">
        <f>D52+D55+D60+D53+D59</f>
        <v>26319.402000000002</v>
      </c>
      <c r="E73" s="138">
        <f>E52+E55+E60+E53+E59</f>
        <v>29742.791999999998</v>
      </c>
      <c r="F73" s="141">
        <f t="shared" si="9"/>
        <v>14440.894</v>
      </c>
      <c r="G73" s="138">
        <f t="shared" ref="G73:M73" si="42">G52+G55+G60+G53+G59</f>
        <v>2102.8020000000001</v>
      </c>
      <c r="H73" s="223">
        <f t="shared" si="42"/>
        <v>2280.1089999999999</v>
      </c>
      <c r="I73" s="223">
        <f t="shared" si="42"/>
        <v>2723.5030000000002</v>
      </c>
      <c r="J73" s="223">
        <f t="shared" si="42"/>
        <v>2593.9670000000001</v>
      </c>
      <c r="K73" s="138">
        <f t="shared" si="42"/>
        <v>4740.5129999999999</v>
      </c>
      <c r="L73" s="136">
        <f>F73/E73*100</f>
        <v>48.552583765505275</v>
      </c>
      <c r="M73" s="138">
        <f t="shared" si="42"/>
        <v>15193.817999999999</v>
      </c>
      <c r="N73" s="135">
        <f>F73-M73</f>
        <v>-752.92399999999907</v>
      </c>
      <c r="O73" s="136">
        <f>F73/M73*100</f>
        <v>95.044537192692459</v>
      </c>
      <c r="P73" s="141">
        <f>P52+P55+P60+P53+P59+P58+P54</f>
        <v>16360.853999999999</v>
      </c>
      <c r="Q73" s="135">
        <f>F73-P73</f>
        <v>-1919.9599999999991</v>
      </c>
      <c r="R73" s="136">
        <f>F73/P73*100</f>
        <v>88.264915755620095</v>
      </c>
    </row>
    <row r="74" spans="1:23" s="8" customFormat="1" ht="12" customHeight="1" x14ac:dyDescent="0.25">
      <c r="A74" s="14"/>
      <c r="B74" s="46"/>
      <c r="C74" s="17"/>
      <c r="D74" s="138"/>
      <c r="E74" s="138"/>
      <c r="F74" s="141"/>
      <c r="G74" s="138"/>
      <c r="H74" s="223"/>
      <c r="I74" s="223"/>
      <c r="J74" s="223"/>
      <c r="K74" s="138"/>
      <c r="L74" s="136"/>
      <c r="M74" s="138"/>
      <c r="N74" s="135"/>
      <c r="O74" s="136"/>
      <c r="P74" s="141"/>
      <c r="Q74" s="135"/>
      <c r="R74" s="136"/>
    </row>
    <row r="75" spans="1:23" s="168" customFormat="1" ht="40.5" customHeight="1" x14ac:dyDescent="0.3">
      <c r="A75" s="161"/>
      <c r="B75" s="162" t="s">
        <v>27</v>
      </c>
      <c r="C75" s="163"/>
      <c r="D75" s="164">
        <f>D68+D47</f>
        <v>4495744.1909999996</v>
      </c>
      <c r="E75" s="164">
        <f>E68+E47</f>
        <v>4509167.5809999993</v>
      </c>
      <c r="F75" s="164">
        <f t="shared" si="9"/>
        <v>1734299.7139999999</v>
      </c>
      <c r="G75" s="164">
        <f t="shared" ref="G75:M75" si="43">G68+G47</f>
        <v>284202.34499999997</v>
      </c>
      <c r="H75" s="164">
        <f t="shared" si="43"/>
        <v>359907.94099999999</v>
      </c>
      <c r="I75" s="164">
        <f t="shared" si="43"/>
        <v>333994.50400000002</v>
      </c>
      <c r="J75" s="164">
        <f t="shared" si="43"/>
        <v>368343.10199999996</v>
      </c>
      <c r="K75" s="164">
        <f t="shared" si="43"/>
        <v>387851.82199999999</v>
      </c>
      <c r="L75" s="166">
        <f>F75/E75*100</f>
        <v>38.461638048399692</v>
      </c>
      <c r="M75" s="164">
        <f t="shared" si="43"/>
        <v>1685856.6780000003</v>
      </c>
      <c r="N75" s="165">
        <f>F75-M75</f>
        <v>48443.035999999614</v>
      </c>
      <c r="O75" s="166">
        <f>F75/M75*100</f>
        <v>102.87349669946259</v>
      </c>
      <c r="P75" s="164">
        <f>P68+P47</f>
        <v>1538548.1160000002</v>
      </c>
      <c r="Q75" s="165">
        <f>F75-P75</f>
        <v>195751.59799999977</v>
      </c>
      <c r="R75" s="166">
        <f>F75/P75*100</f>
        <v>112.72313787032708</v>
      </c>
      <c r="S75" s="164">
        <v>1538548.1160000002</v>
      </c>
      <c r="T75" s="167">
        <f>S75-P75</f>
        <v>0</v>
      </c>
      <c r="W75" s="167">
        <f>2708373.649-M75</f>
        <v>1022516.9709999999</v>
      </c>
    </row>
    <row r="76" spans="1:23" s="10" customFormat="1" ht="20.25" x14ac:dyDescent="0.25">
      <c r="A76" s="24"/>
      <c r="B76" s="247" t="s">
        <v>9</v>
      </c>
      <c r="C76" s="248"/>
      <c r="D76" s="248"/>
      <c r="E76" s="248"/>
      <c r="F76" s="248"/>
      <c r="G76" s="248"/>
      <c r="H76" s="248"/>
      <c r="I76" s="248"/>
      <c r="J76" s="248"/>
      <c r="K76" s="248"/>
      <c r="L76" s="248"/>
      <c r="M76" s="248"/>
      <c r="N76" s="248"/>
      <c r="O76" s="248"/>
      <c r="P76" s="248"/>
      <c r="Q76" s="248"/>
      <c r="R76" s="249"/>
    </row>
    <row r="77" spans="1:23" s="65" customFormat="1" ht="36" customHeight="1" x14ac:dyDescent="0.3">
      <c r="A77" s="24">
        <v>1</v>
      </c>
      <c r="B77" s="64" t="s">
        <v>12</v>
      </c>
      <c r="C77" s="25" t="s">
        <v>21</v>
      </c>
      <c r="D77" s="137">
        <f>D78+D79</f>
        <v>70446.198000000004</v>
      </c>
      <c r="E77" s="137">
        <f t="shared" ref="E77:E120" si="44">D77</f>
        <v>70446.198000000004</v>
      </c>
      <c r="F77" s="128">
        <f t="shared" ref="F77:F103" si="45">SUM(G77:K77)</f>
        <v>29370.666000000005</v>
      </c>
      <c r="G77" s="127">
        <f t="shared" ref="G77:M77" si="46">G78+G79</f>
        <v>3860.3049999999998</v>
      </c>
      <c r="H77" s="215">
        <f t="shared" ref="H77:J77" si="47">H78+H79</f>
        <v>8760.2939999999999</v>
      </c>
      <c r="I77" s="215">
        <f t="shared" si="47"/>
        <v>5848.7789999999995</v>
      </c>
      <c r="J77" s="215">
        <f t="shared" si="47"/>
        <v>5691.4560000000001</v>
      </c>
      <c r="K77" s="127">
        <f t="shared" si="46"/>
        <v>5209.8320000000003</v>
      </c>
      <c r="L77" s="131">
        <f>F77/E77*100</f>
        <v>41.692336611267514</v>
      </c>
      <c r="M77" s="129">
        <f t="shared" si="46"/>
        <v>29352.582999999999</v>
      </c>
      <c r="N77" s="130">
        <f t="shared" ref="N77:N90" si="48">F77-M77</f>
        <v>18.083000000005995</v>
      </c>
      <c r="O77" s="131">
        <f>F77/M77*100</f>
        <v>100.06160616256501</v>
      </c>
      <c r="P77" s="128">
        <f t="shared" ref="P77" si="49">P78+P79</f>
        <v>30049.811999999998</v>
      </c>
      <c r="Q77" s="130">
        <f t="shared" ref="Q77:Q90" si="50">F77-P77</f>
        <v>-679.14599999999336</v>
      </c>
      <c r="R77" s="131">
        <f>F77/P77*100</f>
        <v>97.739932615884612</v>
      </c>
    </row>
    <row r="78" spans="1:23" s="68" customFormat="1" ht="39" x14ac:dyDescent="0.3">
      <c r="A78" s="43" t="s">
        <v>127</v>
      </c>
      <c r="B78" s="110" t="s">
        <v>123</v>
      </c>
      <c r="C78" s="17" t="s">
        <v>124</v>
      </c>
      <c r="D78" s="138">
        <v>70446.198000000004</v>
      </c>
      <c r="E78" s="138">
        <v>70446.198000000004</v>
      </c>
      <c r="F78" s="133">
        <f t="shared" si="45"/>
        <v>24995.635999999999</v>
      </c>
      <c r="G78" s="132">
        <v>3552.8009999999999</v>
      </c>
      <c r="H78" s="220">
        <v>6339.2139999999999</v>
      </c>
      <c r="I78" s="220">
        <v>5401.0349999999999</v>
      </c>
      <c r="J78" s="220">
        <v>4981.4170000000004</v>
      </c>
      <c r="K78" s="132">
        <v>4721.1689999999999</v>
      </c>
      <c r="L78" s="136">
        <f>F78/E78*100</f>
        <v>35.481880796462569</v>
      </c>
      <c r="M78" s="134">
        <v>29352.582999999999</v>
      </c>
      <c r="N78" s="135">
        <f t="shared" si="48"/>
        <v>-4356.9470000000001</v>
      </c>
      <c r="O78" s="136">
        <f>F78/M78*100</f>
        <v>85.156512460930614</v>
      </c>
      <c r="P78" s="133">
        <v>22392.690999999999</v>
      </c>
      <c r="Q78" s="135">
        <f t="shared" si="50"/>
        <v>2602.9449999999997</v>
      </c>
      <c r="R78" s="136">
        <f>F78/P78*100</f>
        <v>111.62408305460028</v>
      </c>
    </row>
    <row r="79" spans="1:23" s="68" customFormat="1" ht="23.25" x14ac:dyDescent="0.3">
      <c r="A79" s="43" t="s">
        <v>128</v>
      </c>
      <c r="B79" s="110" t="s">
        <v>125</v>
      </c>
      <c r="C79" s="17" t="s">
        <v>126</v>
      </c>
      <c r="D79" s="138">
        <v>0</v>
      </c>
      <c r="E79" s="138">
        <v>0</v>
      </c>
      <c r="F79" s="133">
        <f t="shared" si="45"/>
        <v>4375.0300000000007</v>
      </c>
      <c r="G79" s="132">
        <v>307.50400000000002</v>
      </c>
      <c r="H79" s="220">
        <v>2421.08</v>
      </c>
      <c r="I79" s="220">
        <v>447.74400000000003</v>
      </c>
      <c r="J79" s="220">
        <v>710.03899999999999</v>
      </c>
      <c r="K79" s="132">
        <v>488.66300000000001</v>
      </c>
      <c r="L79" s="136"/>
      <c r="M79" s="134">
        <v>0</v>
      </c>
      <c r="N79" s="135">
        <f t="shared" si="48"/>
        <v>4375.0300000000007</v>
      </c>
      <c r="O79" s="136"/>
      <c r="P79" s="133">
        <v>7657.1209999999992</v>
      </c>
      <c r="Q79" s="135">
        <f t="shared" si="50"/>
        <v>-3282.0909999999985</v>
      </c>
      <c r="R79" s="136">
        <f>F79/P79*100</f>
        <v>57.136748916466139</v>
      </c>
    </row>
    <row r="80" spans="1:23" s="65" customFormat="1" ht="32.25" customHeight="1" x14ac:dyDescent="0.3">
      <c r="A80" s="24">
        <v>2</v>
      </c>
      <c r="B80" s="125" t="s">
        <v>31</v>
      </c>
      <c r="C80" s="25" t="s">
        <v>30</v>
      </c>
      <c r="D80" s="137">
        <v>2267.6</v>
      </c>
      <c r="E80" s="137">
        <v>2267.6</v>
      </c>
      <c r="F80" s="128">
        <f t="shared" si="45"/>
        <v>854.08299999999997</v>
      </c>
      <c r="G80" s="127">
        <v>68.402000000000001</v>
      </c>
      <c r="H80" s="215">
        <v>214.458</v>
      </c>
      <c r="I80" s="215">
        <v>85.447999999999993</v>
      </c>
      <c r="J80" s="215">
        <v>196.76599999999999</v>
      </c>
      <c r="K80" s="127">
        <v>289.00900000000001</v>
      </c>
      <c r="L80" s="131">
        <f t="shared" ref="L80:L90" si="51">F80/E80*100</f>
        <v>37.664623390368675</v>
      </c>
      <c r="M80" s="129">
        <v>853.93499999999995</v>
      </c>
      <c r="N80" s="130">
        <f t="shared" si="48"/>
        <v>0.14800000000002456</v>
      </c>
      <c r="O80" s="131">
        <f>F80/M80*100</f>
        <v>100.01733152991739</v>
      </c>
      <c r="P80" s="128">
        <v>510.72299999999996</v>
      </c>
      <c r="Q80" s="130">
        <f t="shared" si="50"/>
        <v>343.36</v>
      </c>
      <c r="R80" s="131">
        <f>F80/P80*100</f>
        <v>167.23018152697256</v>
      </c>
    </row>
    <row r="81" spans="1:19" s="65" customFormat="1" ht="39" x14ac:dyDescent="0.3">
      <c r="A81" s="24">
        <f t="shared" ref="A81:A84" si="52">A80+1</f>
        <v>3</v>
      </c>
      <c r="B81" s="125" t="s">
        <v>90</v>
      </c>
      <c r="C81" s="25">
        <v>21110000</v>
      </c>
      <c r="D81" s="137">
        <v>160</v>
      </c>
      <c r="E81" s="137">
        <v>160</v>
      </c>
      <c r="F81" s="128">
        <f t="shared" si="45"/>
        <v>13.731999999999999</v>
      </c>
      <c r="G81" s="127">
        <v>0</v>
      </c>
      <c r="H81" s="215">
        <v>0</v>
      </c>
      <c r="I81" s="215">
        <v>13.731999999999999</v>
      </c>
      <c r="J81" s="215">
        <v>0</v>
      </c>
      <c r="K81" s="127">
        <v>0</v>
      </c>
      <c r="L81" s="131">
        <f t="shared" si="51"/>
        <v>8.5824999999999996</v>
      </c>
      <c r="M81" s="129">
        <v>13.731999999999999</v>
      </c>
      <c r="N81" s="130">
        <f t="shared" si="48"/>
        <v>0</v>
      </c>
      <c r="O81" s="219">
        <f>F81/M81*100</f>
        <v>100</v>
      </c>
      <c r="P81" s="128">
        <v>0</v>
      </c>
      <c r="Q81" s="130">
        <f t="shared" si="50"/>
        <v>13.731999999999999</v>
      </c>
      <c r="R81" s="131"/>
    </row>
    <row r="82" spans="1:19" s="65" customFormat="1" ht="58.5" x14ac:dyDescent="0.3">
      <c r="A82" s="24">
        <f t="shared" si="52"/>
        <v>4</v>
      </c>
      <c r="B82" s="64" t="s">
        <v>26</v>
      </c>
      <c r="C82" s="25" t="s">
        <v>25</v>
      </c>
      <c r="D82" s="137">
        <v>15.7</v>
      </c>
      <c r="E82" s="137">
        <v>140.69999999999999</v>
      </c>
      <c r="F82" s="128">
        <f t="shared" si="45"/>
        <v>141.95599999999999</v>
      </c>
      <c r="G82" s="127">
        <v>36.722000000000001</v>
      </c>
      <c r="H82" s="215">
        <v>1.931</v>
      </c>
      <c r="I82" s="215">
        <v>93.322999999999993</v>
      </c>
      <c r="J82" s="215">
        <v>2.0529999999999999</v>
      </c>
      <c r="K82" s="127">
        <v>7.9269999999999996</v>
      </c>
      <c r="L82" s="131">
        <f t="shared" si="51"/>
        <v>100.89267945984363</v>
      </c>
      <c r="M82" s="129">
        <v>140.69999999999999</v>
      </c>
      <c r="N82" s="130">
        <f t="shared" si="48"/>
        <v>1.2560000000000002</v>
      </c>
      <c r="O82" s="131">
        <f>F82/M82*100</f>
        <v>100.89267945984363</v>
      </c>
      <c r="P82" s="128">
        <v>6.218</v>
      </c>
      <c r="Q82" s="130">
        <f t="shared" si="50"/>
        <v>135.738</v>
      </c>
      <c r="R82" s="131">
        <f>F82/P82*100</f>
        <v>2282.9848825989066</v>
      </c>
    </row>
    <row r="83" spans="1:19" s="65" customFormat="1" ht="78" x14ac:dyDescent="0.3">
      <c r="A83" s="24">
        <f t="shared" si="52"/>
        <v>5</v>
      </c>
      <c r="B83" s="64" t="s">
        <v>69</v>
      </c>
      <c r="C83" s="25" t="s">
        <v>70</v>
      </c>
      <c r="D83" s="137">
        <v>0.4</v>
      </c>
      <c r="E83" s="137">
        <v>0.4</v>
      </c>
      <c r="F83" s="128">
        <f t="shared" si="45"/>
        <v>0.11800000000000001</v>
      </c>
      <c r="G83" s="127">
        <v>3.5000000000000003E-2</v>
      </c>
      <c r="H83" s="215">
        <v>2.5000000000000001E-2</v>
      </c>
      <c r="I83" s="215">
        <v>1.7000000000000001E-2</v>
      </c>
      <c r="J83" s="215">
        <v>1.4E-2</v>
      </c>
      <c r="K83" s="127">
        <v>2.7E-2</v>
      </c>
      <c r="L83" s="131">
        <f t="shared" si="51"/>
        <v>29.5</v>
      </c>
      <c r="M83" s="129">
        <v>0.11700000000000001</v>
      </c>
      <c r="N83" s="130">
        <f t="shared" si="48"/>
        <v>1.0000000000000009E-3</v>
      </c>
      <c r="O83" s="131">
        <f>F83/M83*100</f>
        <v>100.85470085470085</v>
      </c>
      <c r="P83" s="128">
        <v>0.19400000000000001</v>
      </c>
      <c r="Q83" s="130">
        <f t="shared" si="50"/>
        <v>-7.5999999999999998E-2</v>
      </c>
      <c r="R83" s="131">
        <f>F83/P83*100</f>
        <v>60.824742268041241</v>
      </c>
    </row>
    <row r="84" spans="1:19" s="32" customFormat="1" ht="36" customHeight="1" x14ac:dyDescent="0.3">
      <c r="A84" s="12">
        <f t="shared" si="52"/>
        <v>6</v>
      </c>
      <c r="B84" s="16" t="s">
        <v>10</v>
      </c>
      <c r="C84" s="9"/>
      <c r="D84" s="59">
        <f>SUM(D85:D88)</f>
        <v>90003.199999999997</v>
      </c>
      <c r="E84" s="59">
        <f>SUM(E85:E88)</f>
        <v>98303.2</v>
      </c>
      <c r="F84" s="50">
        <f>SUM(G84:K84)</f>
        <v>31038.473000000002</v>
      </c>
      <c r="G84" s="59">
        <f t="shared" ref="G84:M84" si="53">SUM(G85:G88)</f>
        <v>8655.4589999999989</v>
      </c>
      <c r="H84" s="205">
        <f t="shared" si="53"/>
        <v>1630.1189999999999</v>
      </c>
      <c r="I84" s="205">
        <f t="shared" si="53"/>
        <v>10702.722</v>
      </c>
      <c r="J84" s="205">
        <f t="shared" si="53"/>
        <v>5034.759</v>
      </c>
      <c r="K84" s="59">
        <f t="shared" si="53"/>
        <v>5015.4139999999998</v>
      </c>
      <c r="L84" s="100">
        <f t="shared" si="51"/>
        <v>31.574224440303066</v>
      </c>
      <c r="M84" s="59">
        <f t="shared" si="53"/>
        <v>29527.948</v>
      </c>
      <c r="N84" s="59">
        <f t="shared" si="48"/>
        <v>1510.5250000000015</v>
      </c>
      <c r="O84" s="100">
        <f>F84/M84*100</f>
        <v>105.11557728291854</v>
      </c>
      <c r="P84" s="50">
        <f>SUM(P85:P88)</f>
        <v>28880.988000000005</v>
      </c>
      <c r="Q84" s="99">
        <f t="shared" si="50"/>
        <v>2157.4849999999969</v>
      </c>
      <c r="R84" s="100">
        <f>F84/P84*100</f>
        <v>107.47026036643899</v>
      </c>
      <c r="S84" s="66"/>
    </row>
    <row r="85" spans="1:19" s="68" customFormat="1" ht="41.25" customHeight="1" x14ac:dyDescent="0.3">
      <c r="A85" s="14" t="s">
        <v>136</v>
      </c>
      <c r="B85" s="110" t="s">
        <v>146</v>
      </c>
      <c r="C85" s="17" t="s">
        <v>65</v>
      </c>
      <c r="D85" s="138">
        <v>3.2</v>
      </c>
      <c r="E85" s="138">
        <v>3.2</v>
      </c>
      <c r="F85" s="133">
        <f t="shared" si="45"/>
        <v>0</v>
      </c>
      <c r="G85" s="132">
        <v>0</v>
      </c>
      <c r="H85" s="220">
        <v>0</v>
      </c>
      <c r="I85" s="220">
        <v>0</v>
      </c>
      <c r="J85" s="220">
        <v>0</v>
      </c>
      <c r="K85" s="132">
        <v>0</v>
      </c>
      <c r="L85" s="136">
        <f t="shared" si="51"/>
        <v>0</v>
      </c>
      <c r="M85" s="134">
        <v>0</v>
      </c>
      <c r="N85" s="135">
        <f t="shared" si="48"/>
        <v>0</v>
      </c>
      <c r="O85" s="136"/>
      <c r="P85" s="133">
        <v>0</v>
      </c>
      <c r="Q85" s="135">
        <f t="shared" si="50"/>
        <v>0</v>
      </c>
      <c r="R85" s="136"/>
    </row>
    <row r="86" spans="1:19" s="68" customFormat="1" ht="39" x14ac:dyDescent="0.3">
      <c r="A86" s="14" t="s">
        <v>137</v>
      </c>
      <c r="B86" s="110" t="s">
        <v>45</v>
      </c>
      <c r="C86" s="17" t="s">
        <v>44</v>
      </c>
      <c r="D86" s="138">
        <v>0</v>
      </c>
      <c r="E86" s="138">
        <v>8300</v>
      </c>
      <c r="F86" s="133">
        <f t="shared" si="45"/>
        <v>8850.4930000000004</v>
      </c>
      <c r="G86" s="132">
        <v>6037.933</v>
      </c>
      <c r="H86" s="220">
        <v>25.300999999999998</v>
      </c>
      <c r="I86" s="220">
        <v>2133.0540000000001</v>
      </c>
      <c r="J86" s="220">
        <v>152.38399999999999</v>
      </c>
      <c r="K86" s="132">
        <v>501.82100000000003</v>
      </c>
      <c r="L86" s="136">
        <f t="shared" si="51"/>
        <v>106.63244578313254</v>
      </c>
      <c r="M86" s="134">
        <v>8300</v>
      </c>
      <c r="N86" s="135">
        <f t="shared" si="48"/>
        <v>550.49300000000039</v>
      </c>
      <c r="O86" s="221">
        <f>F86/M86*100</f>
        <v>106.63244578313254</v>
      </c>
      <c r="P86" s="133">
        <v>3806.5990000000002</v>
      </c>
      <c r="Q86" s="135">
        <f t="shared" si="50"/>
        <v>5043.8940000000002</v>
      </c>
      <c r="R86" s="136">
        <f>F86/P86*100</f>
        <v>232.50394906319264</v>
      </c>
    </row>
    <row r="87" spans="1:19" s="68" customFormat="1" ht="39" x14ac:dyDescent="0.3">
      <c r="A87" s="14" t="s">
        <v>138</v>
      </c>
      <c r="B87" s="110" t="s">
        <v>36</v>
      </c>
      <c r="C87" s="17" t="s">
        <v>22</v>
      </c>
      <c r="D87" s="138">
        <v>20000</v>
      </c>
      <c r="E87" s="138">
        <v>20000</v>
      </c>
      <c r="F87" s="133">
        <f t="shared" si="45"/>
        <v>4200.5239999999994</v>
      </c>
      <c r="G87" s="132">
        <v>0</v>
      </c>
      <c r="H87" s="220">
        <v>0</v>
      </c>
      <c r="I87" s="220">
        <v>2908.8789999999999</v>
      </c>
      <c r="J87" s="220">
        <v>1291.645</v>
      </c>
      <c r="K87" s="132">
        <v>0</v>
      </c>
      <c r="L87" s="136">
        <f t="shared" si="51"/>
        <v>21.002619999999997</v>
      </c>
      <c r="M87" s="134">
        <v>4105.1310000000003</v>
      </c>
      <c r="N87" s="135">
        <f t="shared" si="48"/>
        <v>95.39299999999912</v>
      </c>
      <c r="O87" s="221">
        <f>F87/M87*100</f>
        <v>102.32375044791505</v>
      </c>
      <c r="P87" s="133">
        <v>1964.0740000000001</v>
      </c>
      <c r="Q87" s="135">
        <f t="shared" si="50"/>
        <v>2236.4499999999994</v>
      </c>
      <c r="R87" s="136">
        <f>F87/P87*100</f>
        <v>213.86790925392827</v>
      </c>
    </row>
    <row r="88" spans="1:19" s="67" customFormat="1" ht="23.25" x14ac:dyDescent="0.3">
      <c r="A88" s="14" t="s">
        <v>139</v>
      </c>
      <c r="B88" s="46" t="s">
        <v>71</v>
      </c>
      <c r="C88" s="17" t="s">
        <v>42</v>
      </c>
      <c r="D88" s="138">
        <v>70000</v>
      </c>
      <c r="E88" s="138">
        <v>70000</v>
      </c>
      <c r="F88" s="141">
        <f t="shared" si="45"/>
        <v>17987.455999999998</v>
      </c>
      <c r="G88" s="138">
        <v>2617.5259999999998</v>
      </c>
      <c r="H88" s="223">
        <v>1604.818</v>
      </c>
      <c r="I88" s="223">
        <v>5660.7889999999998</v>
      </c>
      <c r="J88" s="223">
        <v>3590.73</v>
      </c>
      <c r="K88" s="138">
        <v>4513.5929999999998</v>
      </c>
      <c r="L88" s="136">
        <f t="shared" si="51"/>
        <v>25.696365714285712</v>
      </c>
      <c r="M88" s="138">
        <v>17122.816999999999</v>
      </c>
      <c r="N88" s="135">
        <f t="shared" si="48"/>
        <v>864.63899999999921</v>
      </c>
      <c r="O88" s="136">
        <f>F88/M88*100</f>
        <v>105.04963056020513</v>
      </c>
      <c r="P88" s="141">
        <v>23110.315000000002</v>
      </c>
      <c r="Q88" s="135">
        <f t="shared" si="50"/>
        <v>-5122.859000000004</v>
      </c>
      <c r="R88" s="136">
        <f>F88/P88*100</f>
        <v>77.8330195845448</v>
      </c>
    </row>
    <row r="89" spans="1:19" s="65" customFormat="1" ht="39" x14ac:dyDescent="0.3">
      <c r="A89" s="24">
        <v>7</v>
      </c>
      <c r="B89" s="125" t="s">
        <v>11</v>
      </c>
      <c r="C89" s="25" t="s">
        <v>23</v>
      </c>
      <c r="D89" s="137">
        <v>6000</v>
      </c>
      <c r="E89" s="137">
        <v>6000</v>
      </c>
      <c r="F89" s="128">
        <f t="shared" si="45"/>
        <v>1794.489</v>
      </c>
      <c r="G89" s="127">
        <v>431.85300000000001</v>
      </c>
      <c r="H89" s="215">
        <v>403.06599999999997</v>
      </c>
      <c r="I89" s="215">
        <v>337.41399999999999</v>
      </c>
      <c r="J89" s="215">
        <v>348.38400000000001</v>
      </c>
      <c r="K89" s="127">
        <v>273.77199999999999</v>
      </c>
      <c r="L89" s="131">
        <f t="shared" si="51"/>
        <v>29.908149999999999</v>
      </c>
      <c r="M89" s="129">
        <v>1775</v>
      </c>
      <c r="N89" s="130">
        <f t="shared" si="48"/>
        <v>19.489000000000033</v>
      </c>
      <c r="O89" s="131">
        <f>F89/M89*100</f>
        <v>101.09797183098593</v>
      </c>
      <c r="P89" s="128">
        <v>2813.183</v>
      </c>
      <c r="Q89" s="130">
        <f t="shared" si="50"/>
        <v>-1018.694</v>
      </c>
      <c r="R89" s="131">
        <f>F89/P89*100</f>
        <v>63.788562635278254</v>
      </c>
    </row>
    <row r="90" spans="1:19" s="55" customFormat="1" ht="33.75" customHeight="1" x14ac:dyDescent="0.3">
      <c r="A90" s="53"/>
      <c r="B90" s="92" t="s">
        <v>159</v>
      </c>
      <c r="C90" s="54"/>
      <c r="D90" s="50">
        <f>D77+D80+D82+D83+D85+D86+D87+D88+D89+D81</f>
        <v>168893.098</v>
      </c>
      <c r="E90" s="50">
        <f>E77+E80+E82+E83+E85+E86+E87+E88+E89+E81</f>
        <v>177318.098</v>
      </c>
      <c r="F90" s="50">
        <f t="shared" si="45"/>
        <v>63213.517000000007</v>
      </c>
      <c r="G90" s="50">
        <f t="shared" ref="G90:M90" si="54">G77+G80+G82+G83+G85+G86+G87+G88+G89+G81</f>
        <v>13052.776</v>
      </c>
      <c r="H90" s="204">
        <f t="shared" si="54"/>
        <v>11009.893</v>
      </c>
      <c r="I90" s="204">
        <f t="shared" si="54"/>
        <v>17081.435000000001</v>
      </c>
      <c r="J90" s="204">
        <f t="shared" si="54"/>
        <v>11273.431999999999</v>
      </c>
      <c r="K90" s="50">
        <f t="shared" si="54"/>
        <v>10795.981</v>
      </c>
      <c r="L90" s="95">
        <f t="shared" si="51"/>
        <v>35.649782911612334</v>
      </c>
      <c r="M90" s="50">
        <f t="shared" si="54"/>
        <v>61664.014999999999</v>
      </c>
      <c r="N90" s="94">
        <f t="shared" si="48"/>
        <v>1549.5020000000077</v>
      </c>
      <c r="O90" s="95">
        <f>F90/M90*100</f>
        <v>102.51281399694783</v>
      </c>
      <c r="P90" s="50">
        <f>P77+P80+P82+P83+P85+P86+P87+P88+P89+P81</f>
        <v>62261.117999999995</v>
      </c>
      <c r="Q90" s="94">
        <f t="shared" si="50"/>
        <v>952.39900000001217</v>
      </c>
      <c r="R90" s="95">
        <f>F90/P90*100</f>
        <v>101.52968502749984</v>
      </c>
    </row>
    <row r="91" spans="1:19" s="71" customFormat="1" ht="22.5" hidden="1" x14ac:dyDescent="0.3">
      <c r="A91" s="70"/>
      <c r="B91" s="98"/>
      <c r="C91" s="58"/>
      <c r="D91" s="59"/>
      <c r="E91" s="59"/>
      <c r="F91" s="50"/>
      <c r="G91" s="59"/>
      <c r="H91" s="205"/>
      <c r="I91" s="205"/>
      <c r="J91" s="205"/>
      <c r="K91" s="59"/>
      <c r="L91" s="100"/>
      <c r="M91" s="59"/>
      <c r="N91" s="99"/>
      <c r="O91" s="100"/>
      <c r="P91" s="50"/>
      <c r="Q91" s="99"/>
      <c r="R91" s="100"/>
    </row>
    <row r="92" spans="1:19" s="71" customFormat="1" ht="67.5" hidden="1" x14ac:dyDescent="0.3">
      <c r="A92" s="70"/>
      <c r="B92" s="98" t="s">
        <v>67</v>
      </c>
      <c r="C92" s="58"/>
      <c r="D92" s="59">
        <f>D90-D77</f>
        <v>98446.9</v>
      </c>
      <c r="E92" s="59">
        <f>E90-E77</f>
        <v>106871.9</v>
      </c>
      <c r="F92" s="50">
        <f>SUM(G92:K92)</f>
        <v>33842.851000000002</v>
      </c>
      <c r="G92" s="59">
        <f t="shared" ref="G92:M92" si="55">G90-G77</f>
        <v>9192.4709999999995</v>
      </c>
      <c r="H92" s="205">
        <f t="shared" si="55"/>
        <v>2249.5990000000002</v>
      </c>
      <c r="I92" s="205">
        <f t="shared" si="55"/>
        <v>11232.656000000003</v>
      </c>
      <c r="J92" s="205">
        <f t="shared" si="55"/>
        <v>5581.9759999999987</v>
      </c>
      <c r="K92" s="59">
        <f t="shared" si="55"/>
        <v>5586.1489999999994</v>
      </c>
      <c r="L92" s="100">
        <f>F92/E92*100</f>
        <v>31.666744017838184</v>
      </c>
      <c r="M92" s="59">
        <f t="shared" si="55"/>
        <v>32311.432000000001</v>
      </c>
      <c r="N92" s="99">
        <f>F92-M92</f>
        <v>1531.4190000000017</v>
      </c>
      <c r="O92" s="100">
        <f>F92/M92*100</f>
        <v>104.73955781346986</v>
      </c>
      <c r="P92" s="50">
        <f>P90-P77</f>
        <v>32211.305999999997</v>
      </c>
      <c r="Q92" s="99">
        <f>F92-P92</f>
        <v>1631.5450000000055</v>
      </c>
      <c r="R92" s="100">
        <f>F92/P92*100</f>
        <v>105.06513147899066</v>
      </c>
    </row>
    <row r="93" spans="1:19" s="71" customFormat="1" ht="22.5" x14ac:dyDescent="0.3">
      <c r="A93" s="70"/>
      <c r="B93" s="159"/>
      <c r="C93" s="58"/>
      <c r="D93" s="59"/>
      <c r="E93" s="59"/>
      <c r="F93" s="50"/>
      <c r="G93" s="59"/>
      <c r="H93" s="205"/>
      <c r="I93" s="205"/>
      <c r="J93" s="205"/>
      <c r="K93" s="59"/>
      <c r="L93" s="100"/>
      <c r="M93" s="59"/>
      <c r="N93" s="99"/>
      <c r="O93" s="100"/>
      <c r="P93" s="50"/>
      <c r="Q93" s="99"/>
      <c r="R93" s="100"/>
    </row>
    <row r="94" spans="1:19" s="27" customFormat="1" ht="97.5" x14ac:dyDescent="0.25">
      <c r="A94" s="24">
        <v>1</v>
      </c>
      <c r="B94" s="206" t="s">
        <v>204</v>
      </c>
      <c r="C94" s="25" t="s">
        <v>75</v>
      </c>
      <c r="D94" s="137">
        <v>120420</v>
      </c>
      <c r="E94" s="137">
        <v>120420</v>
      </c>
      <c r="F94" s="142">
        <f t="shared" si="45"/>
        <v>3858.3</v>
      </c>
      <c r="G94" s="137">
        <v>0</v>
      </c>
      <c r="H94" s="222">
        <v>0</v>
      </c>
      <c r="I94" s="222">
        <v>1530.3</v>
      </c>
      <c r="J94" s="222">
        <v>0</v>
      </c>
      <c r="K94" s="137">
        <v>2328</v>
      </c>
      <c r="L94" s="143">
        <f>F94/E94*100</f>
        <v>3.2040358744394619</v>
      </c>
      <c r="M94" s="137">
        <v>120420</v>
      </c>
      <c r="N94" s="130">
        <f>F94-M94</f>
        <v>-116561.7</v>
      </c>
      <c r="O94" s="143"/>
      <c r="P94" s="142">
        <v>32219.185000000001</v>
      </c>
      <c r="Q94" s="130">
        <f>F94-P94</f>
        <v>-28360.885000000002</v>
      </c>
      <c r="R94" s="131">
        <f>F94/P94*100</f>
        <v>11.975163245128639</v>
      </c>
    </row>
    <row r="95" spans="1:19" s="196" customFormat="1" ht="78" x14ac:dyDescent="0.25">
      <c r="A95" s="194">
        <v>2</v>
      </c>
      <c r="B95" s="239" t="s">
        <v>205</v>
      </c>
      <c r="C95" s="195" t="s">
        <v>121</v>
      </c>
      <c r="D95" s="200">
        <v>0</v>
      </c>
      <c r="E95" s="200">
        <v>3000</v>
      </c>
      <c r="F95" s="225">
        <f t="shared" si="45"/>
        <v>0</v>
      </c>
      <c r="G95" s="200">
        <v>0</v>
      </c>
      <c r="H95" s="222">
        <v>0</v>
      </c>
      <c r="I95" s="222">
        <v>0</v>
      </c>
      <c r="J95" s="222">
        <v>0</v>
      </c>
      <c r="K95" s="200">
        <v>0</v>
      </c>
      <c r="L95" s="202"/>
      <c r="M95" s="200">
        <v>3000</v>
      </c>
      <c r="N95" s="218">
        <f>F95-M95</f>
        <v>-3000</v>
      </c>
      <c r="O95" s="202"/>
      <c r="P95" s="201">
        <v>0</v>
      </c>
      <c r="Q95" s="218">
        <f>F95-P95</f>
        <v>0</v>
      </c>
      <c r="R95" s="198"/>
    </row>
    <row r="96" spans="1:19" s="36" customFormat="1" ht="22.5" x14ac:dyDescent="0.25">
      <c r="A96" s="35"/>
      <c r="B96" s="101"/>
      <c r="C96" s="26"/>
      <c r="D96" s="59"/>
      <c r="E96" s="59"/>
      <c r="F96" s="50"/>
      <c r="G96" s="59"/>
      <c r="H96" s="205"/>
      <c r="I96" s="205"/>
      <c r="J96" s="205"/>
      <c r="K96" s="59"/>
      <c r="L96" s="100"/>
      <c r="M96" s="59"/>
      <c r="N96" s="99"/>
      <c r="O96" s="100"/>
      <c r="P96" s="50"/>
      <c r="Q96" s="99"/>
      <c r="R96" s="100"/>
    </row>
    <row r="97" spans="1:20" s="51" customFormat="1" ht="37.5" customHeight="1" x14ac:dyDescent="0.3">
      <c r="A97" s="48"/>
      <c r="B97" s="52" t="s">
        <v>28</v>
      </c>
      <c r="C97" s="54"/>
      <c r="D97" s="50">
        <f>D98+D99</f>
        <v>120420</v>
      </c>
      <c r="E97" s="50">
        <f>E98+E99</f>
        <v>123420</v>
      </c>
      <c r="F97" s="50">
        <f t="shared" si="45"/>
        <v>3858.3</v>
      </c>
      <c r="G97" s="50">
        <f t="shared" ref="G97:M97" si="56">G98+G99</f>
        <v>0</v>
      </c>
      <c r="H97" s="204">
        <f t="shared" si="56"/>
        <v>0</v>
      </c>
      <c r="I97" s="204">
        <f t="shared" si="56"/>
        <v>1530.3</v>
      </c>
      <c r="J97" s="204">
        <f t="shared" si="56"/>
        <v>0</v>
      </c>
      <c r="K97" s="50">
        <f t="shared" si="56"/>
        <v>2328</v>
      </c>
      <c r="L97" s="95">
        <f>F97/E97*100</f>
        <v>3.1261545940690327</v>
      </c>
      <c r="M97" s="50">
        <f t="shared" si="56"/>
        <v>123420</v>
      </c>
      <c r="N97" s="94">
        <f>F97-M97</f>
        <v>-119561.7</v>
      </c>
      <c r="O97" s="95">
        <f>F97/M97*100</f>
        <v>3.1261545940690327</v>
      </c>
      <c r="P97" s="50">
        <f t="shared" ref="P97" si="57">P98+P99</f>
        <v>32219.185000000001</v>
      </c>
      <c r="Q97" s="94">
        <f>F97-P97</f>
        <v>-28360.885000000002</v>
      </c>
      <c r="R97" s="95">
        <f>F97/P97*100</f>
        <v>11.975163245128639</v>
      </c>
    </row>
    <row r="98" spans="1:20" s="8" customFormat="1" ht="37.5" hidden="1" customHeight="1" x14ac:dyDescent="0.25">
      <c r="A98" s="14"/>
      <c r="B98" s="17" t="s">
        <v>111</v>
      </c>
      <c r="C98" s="17"/>
      <c r="D98" s="138">
        <f>D94</f>
        <v>120420</v>
      </c>
      <c r="E98" s="138">
        <f>E94</f>
        <v>120420</v>
      </c>
      <c r="F98" s="141">
        <f t="shared" si="45"/>
        <v>3858.3</v>
      </c>
      <c r="G98" s="138">
        <f t="shared" ref="G98:M98" si="58">G94</f>
        <v>0</v>
      </c>
      <c r="H98" s="223">
        <f t="shared" si="58"/>
        <v>0</v>
      </c>
      <c r="I98" s="223">
        <f t="shared" si="58"/>
        <v>1530.3</v>
      </c>
      <c r="J98" s="223">
        <f t="shared" si="58"/>
        <v>0</v>
      </c>
      <c r="K98" s="138">
        <f t="shared" si="58"/>
        <v>2328</v>
      </c>
      <c r="L98" s="136">
        <f>F98/E98*100</f>
        <v>3.2040358744394619</v>
      </c>
      <c r="M98" s="138">
        <f t="shared" si="58"/>
        <v>120420</v>
      </c>
      <c r="N98" s="135">
        <f>F98-M98</f>
        <v>-116561.7</v>
      </c>
      <c r="O98" s="136"/>
      <c r="P98" s="141">
        <f>P94</f>
        <v>32219.185000000001</v>
      </c>
      <c r="Q98" s="135">
        <f>F98-P98</f>
        <v>-28360.885000000002</v>
      </c>
      <c r="R98" s="136"/>
    </row>
    <row r="99" spans="1:20" s="8" customFormat="1" ht="37.5" hidden="1" customHeight="1" x14ac:dyDescent="0.25">
      <c r="A99" s="14"/>
      <c r="B99" s="192" t="s">
        <v>110</v>
      </c>
      <c r="C99" s="17"/>
      <c r="D99" s="138">
        <f>D95</f>
        <v>0</v>
      </c>
      <c r="E99" s="223">
        <f>E95</f>
        <v>3000</v>
      </c>
      <c r="F99" s="141">
        <f t="shared" si="45"/>
        <v>0</v>
      </c>
      <c r="G99" s="138">
        <f t="shared" ref="G99:K99" si="59">G95</f>
        <v>0</v>
      </c>
      <c r="H99" s="223">
        <f t="shared" ref="H99:J99" si="60">H95</f>
        <v>0</v>
      </c>
      <c r="I99" s="223">
        <f t="shared" si="60"/>
        <v>0</v>
      </c>
      <c r="J99" s="223">
        <f t="shared" si="60"/>
        <v>0</v>
      </c>
      <c r="K99" s="138">
        <f t="shared" si="59"/>
        <v>0</v>
      </c>
      <c r="L99" s="136"/>
      <c r="M99" s="138">
        <f>M95</f>
        <v>3000</v>
      </c>
      <c r="N99" s="135">
        <f>F99-M99</f>
        <v>-3000</v>
      </c>
      <c r="O99" s="136"/>
      <c r="P99" s="141">
        <v>0</v>
      </c>
      <c r="Q99" s="135">
        <f>F99-P99</f>
        <v>0</v>
      </c>
      <c r="R99" s="136"/>
    </row>
    <row r="100" spans="1:20" s="10" customFormat="1" ht="23.25" x14ac:dyDescent="0.25">
      <c r="A100" s="24"/>
      <c r="B100" s="42"/>
      <c r="C100" s="25"/>
      <c r="D100" s="137"/>
      <c r="E100" s="137"/>
      <c r="F100" s="144"/>
      <c r="G100" s="145"/>
      <c r="H100" s="226"/>
      <c r="I100" s="226"/>
      <c r="J100" s="226"/>
      <c r="K100" s="145"/>
      <c r="L100" s="131"/>
      <c r="M100" s="137"/>
      <c r="N100" s="130"/>
      <c r="O100" s="131"/>
      <c r="P100" s="144"/>
      <c r="Q100" s="130"/>
      <c r="R100" s="131"/>
    </row>
    <row r="101" spans="1:20" s="168" customFormat="1" ht="44.25" customHeight="1" x14ac:dyDescent="0.3">
      <c r="A101" s="161"/>
      <c r="B101" s="162" t="s">
        <v>41</v>
      </c>
      <c r="C101" s="169"/>
      <c r="D101" s="164">
        <f>D90+D97</f>
        <v>289313.098</v>
      </c>
      <c r="E101" s="164">
        <f>E90+E97</f>
        <v>300738.098</v>
      </c>
      <c r="F101" s="164">
        <f t="shared" si="45"/>
        <v>67071.81700000001</v>
      </c>
      <c r="G101" s="164">
        <f t="shared" ref="G101:M101" si="61">G90+G97</f>
        <v>13052.776</v>
      </c>
      <c r="H101" s="164">
        <f t="shared" si="61"/>
        <v>11009.893</v>
      </c>
      <c r="I101" s="164">
        <f t="shared" si="61"/>
        <v>18611.735000000001</v>
      </c>
      <c r="J101" s="164">
        <f t="shared" si="61"/>
        <v>11273.431999999999</v>
      </c>
      <c r="K101" s="164">
        <f t="shared" si="61"/>
        <v>13123.981</v>
      </c>
      <c r="L101" s="166">
        <f>F101/E101*100</f>
        <v>22.302401141075251</v>
      </c>
      <c r="M101" s="164">
        <f t="shared" si="61"/>
        <v>185084.01500000001</v>
      </c>
      <c r="N101" s="165">
        <f>F101-M101</f>
        <v>-118012.198</v>
      </c>
      <c r="O101" s="166">
        <f>F101/M101*100</f>
        <v>36.238579004243022</v>
      </c>
      <c r="P101" s="164">
        <f>P90+P97</f>
        <v>94480.303</v>
      </c>
      <c r="Q101" s="165">
        <f>F101-P101</f>
        <v>-27408.48599999999</v>
      </c>
      <c r="R101" s="166">
        <f>F101/P101*100</f>
        <v>70.990264499892646</v>
      </c>
      <c r="S101" s="168">
        <v>94480.303</v>
      </c>
      <c r="T101" s="167">
        <f>S101-P101</f>
        <v>0</v>
      </c>
    </row>
    <row r="102" spans="1:20" s="60" customFormat="1" ht="22.5" hidden="1" x14ac:dyDescent="0.3">
      <c r="A102" s="56"/>
      <c r="B102" s="57"/>
      <c r="C102" s="58"/>
      <c r="D102" s="59"/>
      <c r="E102" s="59"/>
      <c r="F102" s="50"/>
      <c r="G102" s="59"/>
      <c r="H102" s="205"/>
      <c r="I102" s="205"/>
      <c r="J102" s="205"/>
      <c r="K102" s="59"/>
      <c r="L102" s="100"/>
      <c r="M102" s="59"/>
      <c r="N102" s="99"/>
      <c r="O102" s="100"/>
      <c r="P102" s="50"/>
      <c r="Q102" s="99"/>
      <c r="R102" s="100"/>
    </row>
    <row r="103" spans="1:20" s="176" customFormat="1" ht="70.5" hidden="1" customHeight="1" x14ac:dyDescent="0.3">
      <c r="A103" s="170"/>
      <c r="B103" s="171" t="s">
        <v>66</v>
      </c>
      <c r="C103" s="172"/>
      <c r="D103" s="173">
        <f>D101-D77</f>
        <v>218866.9</v>
      </c>
      <c r="E103" s="173">
        <f>E101-E77</f>
        <v>230291.9</v>
      </c>
      <c r="F103" s="164">
        <f t="shared" si="45"/>
        <v>37701.150999999998</v>
      </c>
      <c r="G103" s="173">
        <f t="shared" ref="G103:M103" si="62">G101-G77</f>
        <v>9192.4709999999995</v>
      </c>
      <c r="H103" s="173">
        <f t="shared" si="62"/>
        <v>2249.5990000000002</v>
      </c>
      <c r="I103" s="173">
        <f t="shared" si="62"/>
        <v>12762.956000000002</v>
      </c>
      <c r="J103" s="173">
        <f t="shared" si="62"/>
        <v>5581.9759999999987</v>
      </c>
      <c r="K103" s="173">
        <f t="shared" si="62"/>
        <v>7914.1489999999994</v>
      </c>
      <c r="L103" s="175">
        <f>F103/E103*100</f>
        <v>16.371027812962591</v>
      </c>
      <c r="M103" s="173">
        <f t="shared" si="62"/>
        <v>155731.43200000003</v>
      </c>
      <c r="N103" s="174">
        <f>F103-M103</f>
        <v>-118030.28100000003</v>
      </c>
      <c r="O103" s="175">
        <f>F103/M103*100</f>
        <v>24.209082595477572</v>
      </c>
      <c r="P103" s="164">
        <f>P101-P77</f>
        <v>64430.491000000002</v>
      </c>
      <c r="Q103" s="174">
        <f>F103-P103</f>
        <v>-26729.340000000004</v>
      </c>
      <c r="R103" s="175">
        <f>F103/P103*100</f>
        <v>58.51445552386059</v>
      </c>
    </row>
    <row r="104" spans="1:20" s="13" customFormat="1" ht="35.25" customHeight="1" x14ac:dyDescent="0.25">
      <c r="A104" s="241" t="s">
        <v>40</v>
      </c>
      <c r="B104" s="242"/>
      <c r="C104" s="242"/>
      <c r="D104" s="242"/>
      <c r="E104" s="242"/>
      <c r="F104" s="242"/>
      <c r="G104" s="242"/>
      <c r="H104" s="242"/>
      <c r="I104" s="242"/>
      <c r="J104" s="242"/>
      <c r="K104" s="242"/>
      <c r="L104" s="242"/>
      <c r="M104" s="242"/>
      <c r="N104" s="242"/>
      <c r="O104" s="242"/>
      <c r="P104" s="242"/>
      <c r="Q104" s="242"/>
      <c r="R104" s="243"/>
    </row>
    <row r="105" spans="1:20" s="168" customFormat="1" ht="37.5" customHeight="1" x14ac:dyDescent="0.3">
      <c r="A105" s="177"/>
      <c r="B105" s="162" t="s">
        <v>162</v>
      </c>
      <c r="C105" s="169"/>
      <c r="D105" s="164">
        <f>D47+D90</f>
        <v>3920514.4869999997</v>
      </c>
      <c r="E105" s="164">
        <f>E47+E90</f>
        <v>3928939.4869999997</v>
      </c>
      <c r="F105" s="164">
        <f t="shared" ref="F105:F120" si="63">SUM(G105:K105)</f>
        <v>1501653.2369999997</v>
      </c>
      <c r="G105" s="164">
        <f t="shared" ref="G105:M105" si="64">G47+G90</f>
        <v>250348.01899999997</v>
      </c>
      <c r="H105" s="164">
        <f t="shared" si="64"/>
        <v>316324.92499999999</v>
      </c>
      <c r="I105" s="164">
        <f t="shared" si="64"/>
        <v>293871.636</v>
      </c>
      <c r="J105" s="164">
        <f t="shared" si="64"/>
        <v>321819.16699999996</v>
      </c>
      <c r="K105" s="164">
        <f t="shared" si="64"/>
        <v>319289.49</v>
      </c>
      <c r="L105" s="166">
        <f>F105/E105*100</f>
        <v>38.220319808147757</v>
      </c>
      <c r="M105" s="164">
        <f t="shared" si="64"/>
        <v>1450907.7750000001</v>
      </c>
      <c r="N105" s="165">
        <f>F105-M105</f>
        <v>50745.461999999592</v>
      </c>
      <c r="O105" s="166">
        <f>F105/M105*100</f>
        <v>103.49749742019266</v>
      </c>
      <c r="P105" s="164">
        <f>P47+P90</f>
        <v>1283298.3800000001</v>
      </c>
      <c r="Q105" s="165">
        <f>F105-P105</f>
        <v>218354.85699999961</v>
      </c>
      <c r="R105" s="166">
        <f>F105/P105*100</f>
        <v>117.0151276120211</v>
      </c>
    </row>
    <row r="106" spans="1:20" s="176" customFormat="1" ht="23.25" hidden="1" x14ac:dyDescent="0.3">
      <c r="A106" s="178"/>
      <c r="B106" s="179"/>
      <c r="C106" s="172"/>
      <c r="D106" s="173"/>
      <c r="E106" s="173"/>
      <c r="F106" s="164"/>
      <c r="G106" s="173"/>
      <c r="H106" s="173"/>
      <c r="I106" s="173"/>
      <c r="J106" s="173"/>
      <c r="K106" s="173"/>
      <c r="L106" s="175"/>
      <c r="M106" s="173"/>
      <c r="N106" s="174"/>
      <c r="O106" s="175"/>
      <c r="P106" s="164"/>
      <c r="Q106" s="174"/>
      <c r="R106" s="175"/>
    </row>
    <row r="107" spans="1:20" s="176" customFormat="1" ht="74.25" hidden="1" customHeight="1" x14ac:dyDescent="0.3">
      <c r="A107" s="178"/>
      <c r="B107" s="171" t="s">
        <v>160</v>
      </c>
      <c r="C107" s="172"/>
      <c r="D107" s="173">
        <f>D47+D92</f>
        <v>3850068.2889999994</v>
      </c>
      <c r="E107" s="173">
        <f>E47+E92</f>
        <v>3858493.2889999994</v>
      </c>
      <c r="F107" s="164">
        <f t="shared" si="63"/>
        <v>1472282.571</v>
      </c>
      <c r="G107" s="173">
        <f t="shared" ref="G107:M107" si="65">G47+G92</f>
        <v>246487.71399999995</v>
      </c>
      <c r="H107" s="173">
        <f t="shared" si="65"/>
        <v>307564.63099999999</v>
      </c>
      <c r="I107" s="173">
        <f t="shared" si="65"/>
        <v>288022.85700000002</v>
      </c>
      <c r="J107" s="173">
        <f t="shared" si="65"/>
        <v>316127.71100000001</v>
      </c>
      <c r="K107" s="173">
        <f t="shared" si="65"/>
        <v>314079.65799999994</v>
      </c>
      <c r="L107" s="175">
        <f>F107/E107*100</f>
        <v>38.156929680226796</v>
      </c>
      <c r="M107" s="173">
        <f t="shared" si="65"/>
        <v>1421555.1920000003</v>
      </c>
      <c r="N107" s="174">
        <f>F107-M107</f>
        <v>50727.378999999724</v>
      </c>
      <c r="O107" s="175">
        <f>F107/M107*100</f>
        <v>103.56844245552162</v>
      </c>
      <c r="P107" s="164">
        <f>P47+P92</f>
        <v>1253248.5680000002</v>
      </c>
      <c r="Q107" s="174">
        <f>F107-P107</f>
        <v>219034.00299999979</v>
      </c>
      <c r="R107" s="175">
        <f>F107/P107*100</f>
        <v>117.47729928385601</v>
      </c>
    </row>
    <row r="108" spans="1:20" s="32" customFormat="1" ht="22.5" hidden="1" x14ac:dyDescent="0.3">
      <c r="A108" s="41"/>
      <c r="B108" s="16"/>
      <c r="C108" s="26"/>
      <c r="D108" s="59"/>
      <c r="E108" s="59"/>
      <c r="F108" s="50"/>
      <c r="G108" s="59"/>
      <c r="H108" s="205"/>
      <c r="I108" s="205"/>
      <c r="J108" s="205"/>
      <c r="K108" s="59"/>
      <c r="L108" s="100"/>
      <c r="M108" s="59"/>
      <c r="N108" s="99"/>
      <c r="O108" s="100"/>
      <c r="P108" s="50"/>
      <c r="Q108" s="99"/>
      <c r="R108" s="100"/>
    </row>
    <row r="109" spans="1:20" s="32" customFormat="1" ht="87" hidden="1" customHeight="1" x14ac:dyDescent="0.3">
      <c r="A109" s="41"/>
      <c r="B109" s="180" t="s">
        <v>161</v>
      </c>
      <c r="C109" s="26"/>
      <c r="D109" s="181">
        <f>D107+D48+D49+D111</f>
        <v>4802153.1889999993</v>
      </c>
      <c r="E109" s="181">
        <f>E107+E48+E49+E111</f>
        <v>4810578.1889999993</v>
      </c>
      <c r="F109" s="182">
        <f t="shared" si="63"/>
        <v>1847803.1709999999</v>
      </c>
      <c r="G109" s="181">
        <f t="shared" ref="G109:M109" si="66">G107+G48+G49+G111</f>
        <v>310815.51399999997</v>
      </c>
      <c r="H109" s="230">
        <f t="shared" si="66"/>
        <v>379400.93099999998</v>
      </c>
      <c r="I109" s="230">
        <f t="shared" si="66"/>
        <v>362027.15700000001</v>
      </c>
      <c r="J109" s="230">
        <f t="shared" si="66"/>
        <v>390854.61100000003</v>
      </c>
      <c r="K109" s="181">
        <f t="shared" si="66"/>
        <v>404704.95799999993</v>
      </c>
      <c r="L109" s="184">
        <f>F109/E109*100</f>
        <v>38.411249093201263</v>
      </c>
      <c r="M109" s="181">
        <f t="shared" si="66"/>
        <v>1797075.7920000004</v>
      </c>
      <c r="N109" s="183">
        <f>F109-M109</f>
        <v>50727.378999999491</v>
      </c>
      <c r="O109" s="184">
        <f>F109/M109*100</f>
        <v>102.82277348711844</v>
      </c>
      <c r="P109" s="182">
        <f>P107+P48+P49+P111</f>
        <v>1470003.0680000002</v>
      </c>
      <c r="Q109" s="183">
        <f>F109-P109</f>
        <v>377800.10299999965</v>
      </c>
      <c r="R109" s="184">
        <f>F109/P109*100</f>
        <v>125.70063363976595</v>
      </c>
      <c r="S109" s="66"/>
    </row>
    <row r="110" spans="1:20" s="32" customFormat="1" ht="22.5" hidden="1" x14ac:dyDescent="0.3">
      <c r="A110" s="41"/>
      <c r="B110" s="16"/>
      <c r="C110" s="26"/>
      <c r="D110" s="59"/>
      <c r="E110" s="59"/>
      <c r="F110" s="50"/>
      <c r="G110" s="59"/>
      <c r="H110" s="205"/>
      <c r="I110" s="205"/>
      <c r="J110" s="205"/>
      <c r="K110" s="59"/>
      <c r="L110" s="100"/>
      <c r="M110" s="59"/>
      <c r="N110" s="99"/>
      <c r="O110" s="100"/>
      <c r="P110" s="50"/>
      <c r="Q110" s="99"/>
      <c r="R110" s="100"/>
    </row>
    <row r="111" spans="1:20" s="32" customFormat="1" ht="39.75" hidden="1" customHeight="1" x14ac:dyDescent="0.3">
      <c r="A111" s="41"/>
      <c r="B111" s="180" t="s">
        <v>72</v>
      </c>
      <c r="C111" s="26"/>
      <c r="D111" s="181">
        <v>234281.5</v>
      </c>
      <c r="E111" s="181">
        <v>234281.5</v>
      </c>
      <c r="F111" s="182">
        <f t="shared" si="63"/>
        <v>97617.5</v>
      </c>
      <c r="G111" s="181">
        <v>19523.5</v>
      </c>
      <c r="H111" s="230">
        <v>19523.5</v>
      </c>
      <c r="I111" s="230">
        <v>19523.5</v>
      </c>
      <c r="J111" s="230">
        <v>19523.5</v>
      </c>
      <c r="K111" s="181">
        <v>19523.5</v>
      </c>
      <c r="L111" s="184">
        <f>F111/E111*100</f>
        <v>41.666755591030444</v>
      </c>
      <c r="M111" s="181">
        <f>F111</f>
        <v>97617.5</v>
      </c>
      <c r="N111" s="183">
        <f>F111-M111</f>
        <v>0</v>
      </c>
      <c r="O111" s="184">
        <f>F111/M111*100</f>
        <v>100</v>
      </c>
      <c r="P111" s="182">
        <v>-75673.5</v>
      </c>
      <c r="Q111" s="183">
        <f>F111-P111</f>
        <v>173291</v>
      </c>
      <c r="R111" s="184">
        <f>F111/P111*100</f>
        <v>-128.99826227146886</v>
      </c>
    </row>
    <row r="112" spans="1:20" s="32" customFormat="1" ht="22.5" x14ac:dyDescent="0.3">
      <c r="A112" s="12"/>
      <c r="B112" s="16"/>
      <c r="C112" s="26"/>
      <c r="D112" s="59"/>
      <c r="E112" s="59"/>
      <c r="F112" s="50"/>
      <c r="G112" s="59"/>
      <c r="H112" s="205"/>
      <c r="I112" s="205"/>
      <c r="J112" s="205"/>
      <c r="K112" s="59"/>
      <c r="L112" s="100"/>
      <c r="M112" s="59"/>
      <c r="N112" s="99"/>
      <c r="O112" s="100"/>
      <c r="P112" s="50"/>
      <c r="Q112" s="99"/>
      <c r="R112" s="100"/>
    </row>
    <row r="113" spans="1:20" s="51" customFormat="1" ht="39" customHeight="1" x14ac:dyDescent="0.3">
      <c r="A113" s="48"/>
      <c r="B113" s="52" t="s">
        <v>28</v>
      </c>
      <c r="C113" s="54"/>
      <c r="D113" s="50">
        <f>D68+D97</f>
        <v>864542.80200000003</v>
      </c>
      <c r="E113" s="50">
        <f>E68+E97</f>
        <v>880966.19200000004</v>
      </c>
      <c r="F113" s="50">
        <f t="shared" si="63"/>
        <v>299718.29399999999</v>
      </c>
      <c r="G113" s="50">
        <f t="shared" ref="G113:M113" si="67">G68+G97</f>
        <v>46907.102000000006</v>
      </c>
      <c r="H113" s="204">
        <f t="shared" si="67"/>
        <v>54592.909</v>
      </c>
      <c r="I113" s="204">
        <f t="shared" si="67"/>
        <v>58734.603000000003</v>
      </c>
      <c r="J113" s="204">
        <f t="shared" si="67"/>
        <v>57797.366999999998</v>
      </c>
      <c r="K113" s="50">
        <f t="shared" si="67"/>
        <v>81686.313000000009</v>
      </c>
      <c r="L113" s="95">
        <f>F113/E113*100</f>
        <v>34.021543246690214</v>
      </c>
      <c r="M113" s="50">
        <f t="shared" si="67"/>
        <v>420032.91799999995</v>
      </c>
      <c r="N113" s="94">
        <f>F113-M113</f>
        <v>-120314.62399999995</v>
      </c>
      <c r="O113" s="95">
        <f>F113/M113*100</f>
        <v>71.355905967350878</v>
      </c>
      <c r="P113" s="50">
        <f>P68+P97</f>
        <v>349730.03899999999</v>
      </c>
      <c r="Q113" s="94">
        <f>F113-P113</f>
        <v>-50011.744999999995</v>
      </c>
      <c r="R113" s="95">
        <f>F113/P113*100</f>
        <v>85.699900087793139</v>
      </c>
    </row>
    <row r="114" spans="1:20" s="60" customFormat="1" ht="39" hidden="1" customHeight="1" x14ac:dyDescent="0.3">
      <c r="A114" s="185"/>
      <c r="B114" s="61" t="s">
        <v>76</v>
      </c>
      <c r="C114" s="58"/>
      <c r="D114" s="59">
        <f t="shared" ref="D114:E114" si="68">D115+D116</f>
        <v>864542.80200000003</v>
      </c>
      <c r="E114" s="59">
        <f t="shared" si="68"/>
        <v>880966.19200000004</v>
      </c>
      <c r="F114" s="50">
        <f t="shared" si="63"/>
        <v>299718.29399999999</v>
      </c>
      <c r="G114" s="59">
        <f t="shared" ref="G114:M114" si="69">G115+G116</f>
        <v>46907.102000000006</v>
      </c>
      <c r="H114" s="205">
        <f t="shared" ref="H114" si="70">H115+H116</f>
        <v>54592.909</v>
      </c>
      <c r="I114" s="205">
        <f t="shared" ref="I114:K114" si="71">I115+I116</f>
        <v>58734.603000000003</v>
      </c>
      <c r="J114" s="205">
        <f t="shared" ref="J114" si="72">J115+J116</f>
        <v>57797.366999999998</v>
      </c>
      <c r="K114" s="59">
        <f t="shared" si="71"/>
        <v>81686.313000000009</v>
      </c>
      <c r="L114" s="100">
        <f>F114/E114*100</f>
        <v>34.021543246690214</v>
      </c>
      <c r="M114" s="59">
        <f t="shared" si="69"/>
        <v>420032.91799999995</v>
      </c>
      <c r="N114" s="99">
        <f>F114-M114</f>
        <v>-120314.62399999995</v>
      </c>
      <c r="O114" s="100">
        <f>F114/M114*100</f>
        <v>71.355905967350878</v>
      </c>
      <c r="P114" s="50">
        <f t="shared" ref="P114" si="73">P115+P116</f>
        <v>341008.03899999999</v>
      </c>
      <c r="Q114" s="99">
        <f>F114-P114</f>
        <v>-41289.744999999995</v>
      </c>
      <c r="R114" s="100">
        <f>F114/P114*100</f>
        <v>87.891855828067449</v>
      </c>
    </row>
    <row r="115" spans="1:20" s="188" customFormat="1" ht="23.25" hidden="1" x14ac:dyDescent="0.35">
      <c r="A115" s="186"/>
      <c r="B115" s="187" t="s">
        <v>111</v>
      </c>
      <c r="C115" s="187"/>
      <c r="D115" s="138">
        <f>D72+D98</f>
        <v>838223.4</v>
      </c>
      <c r="E115" s="138">
        <f>E72+E98</f>
        <v>848223.4</v>
      </c>
      <c r="F115" s="141">
        <f t="shared" si="63"/>
        <v>285277.40000000002</v>
      </c>
      <c r="G115" s="138">
        <f t="shared" ref="G115:M115" si="74">G72+G98</f>
        <v>44804.3</v>
      </c>
      <c r="H115" s="223">
        <f t="shared" si="74"/>
        <v>52312.800000000003</v>
      </c>
      <c r="I115" s="223">
        <f t="shared" si="74"/>
        <v>56011.100000000006</v>
      </c>
      <c r="J115" s="223">
        <f t="shared" si="74"/>
        <v>55203.4</v>
      </c>
      <c r="K115" s="138">
        <f t="shared" si="74"/>
        <v>76945.8</v>
      </c>
      <c r="L115" s="136">
        <f>F115/E115*100</f>
        <v>33.632342611628026</v>
      </c>
      <c r="M115" s="138">
        <f t="shared" si="74"/>
        <v>401839.1</v>
      </c>
      <c r="N115" s="135">
        <f>F115-M115</f>
        <v>-116561.69999999995</v>
      </c>
      <c r="O115" s="136">
        <f>F115/M115*100</f>
        <v>70.992942199999959</v>
      </c>
      <c r="P115" s="141">
        <f>P72+P98</f>
        <v>324647.185</v>
      </c>
      <c r="Q115" s="135">
        <f>F115-P115</f>
        <v>-39369.784999999974</v>
      </c>
      <c r="R115" s="136">
        <f>F115/P115*100</f>
        <v>87.873055175266657</v>
      </c>
    </row>
    <row r="116" spans="1:20" s="188" customFormat="1" ht="23.25" hidden="1" x14ac:dyDescent="0.35">
      <c r="A116" s="186"/>
      <c r="B116" s="187" t="s">
        <v>110</v>
      </c>
      <c r="C116" s="187"/>
      <c r="D116" s="138">
        <f>D99+D73</f>
        <v>26319.402000000002</v>
      </c>
      <c r="E116" s="138">
        <f>E99+E73</f>
        <v>32742.791999999998</v>
      </c>
      <c r="F116" s="141">
        <f t="shared" si="63"/>
        <v>14440.894</v>
      </c>
      <c r="G116" s="138">
        <f t="shared" ref="G116:M116" si="75">G99+G73</f>
        <v>2102.8020000000001</v>
      </c>
      <c r="H116" s="223">
        <f t="shared" si="75"/>
        <v>2280.1089999999999</v>
      </c>
      <c r="I116" s="223">
        <f t="shared" si="75"/>
        <v>2723.5030000000002</v>
      </c>
      <c r="J116" s="223">
        <f t="shared" si="75"/>
        <v>2593.9670000000001</v>
      </c>
      <c r="K116" s="138">
        <f t="shared" si="75"/>
        <v>4740.5129999999999</v>
      </c>
      <c r="L116" s="136">
        <f>F116/E116*100</f>
        <v>44.104039753237906</v>
      </c>
      <c r="M116" s="138">
        <f t="shared" si="75"/>
        <v>18193.817999999999</v>
      </c>
      <c r="N116" s="135">
        <f>F116-M116</f>
        <v>-3752.9239999999991</v>
      </c>
      <c r="O116" s="136">
        <f>F116/M116*100</f>
        <v>79.372531922656378</v>
      </c>
      <c r="P116" s="141">
        <f>P99+P73</f>
        <v>16360.853999999999</v>
      </c>
      <c r="Q116" s="135">
        <f>F116-P116</f>
        <v>-1919.9599999999991</v>
      </c>
      <c r="R116" s="136">
        <f>F116/P116*100</f>
        <v>88.264915755620095</v>
      </c>
    </row>
    <row r="117" spans="1:20" s="8" customFormat="1" ht="23.25" x14ac:dyDescent="0.25">
      <c r="A117" s="28"/>
      <c r="B117" s="46"/>
      <c r="C117" s="17"/>
      <c r="D117" s="138"/>
      <c r="E117" s="138"/>
      <c r="F117" s="141"/>
      <c r="G117" s="138"/>
      <c r="H117" s="223"/>
      <c r="I117" s="223"/>
      <c r="J117" s="223"/>
      <c r="K117" s="138"/>
      <c r="L117" s="136"/>
      <c r="M117" s="138"/>
      <c r="N117" s="135"/>
      <c r="O117" s="136"/>
      <c r="P117" s="141"/>
      <c r="Q117" s="135"/>
      <c r="R117" s="136"/>
    </row>
    <row r="118" spans="1:20" s="168" customFormat="1" ht="48.75" customHeight="1" x14ac:dyDescent="0.3">
      <c r="A118" s="177"/>
      <c r="B118" s="162" t="s">
        <v>152</v>
      </c>
      <c r="C118" s="169"/>
      <c r="D118" s="164">
        <f>D105+D113</f>
        <v>4785057.2889999999</v>
      </c>
      <c r="E118" s="164">
        <f>E105+E113</f>
        <v>4809905.6789999995</v>
      </c>
      <c r="F118" s="164">
        <f t="shared" si="63"/>
        <v>1801371.531</v>
      </c>
      <c r="G118" s="164">
        <f t="shared" ref="G118:M118" si="76">G105+G113</f>
        <v>297255.12099999998</v>
      </c>
      <c r="H118" s="164">
        <f t="shared" si="76"/>
        <v>370917.83399999997</v>
      </c>
      <c r="I118" s="164">
        <f t="shared" si="76"/>
        <v>352606.239</v>
      </c>
      <c r="J118" s="164">
        <f t="shared" si="76"/>
        <v>379616.53399999999</v>
      </c>
      <c r="K118" s="164">
        <f t="shared" si="76"/>
        <v>400975.80300000001</v>
      </c>
      <c r="L118" s="166">
        <f>F118/E118*100</f>
        <v>37.451285975622561</v>
      </c>
      <c r="M118" s="164">
        <f t="shared" si="76"/>
        <v>1870940.693</v>
      </c>
      <c r="N118" s="165">
        <f>F118-M118</f>
        <v>-69569.162000000011</v>
      </c>
      <c r="O118" s="166">
        <f>F118/M118*100</f>
        <v>96.281594480237217</v>
      </c>
      <c r="P118" s="164">
        <f>P101+P75</f>
        <v>1633028.4190000002</v>
      </c>
      <c r="Q118" s="165">
        <f>F118-P118</f>
        <v>168343.11199999973</v>
      </c>
      <c r="R118" s="166">
        <f>F118/P118*100</f>
        <v>110.30864558395659</v>
      </c>
      <c r="S118" s="164">
        <v>1633028.419</v>
      </c>
      <c r="T118" s="164">
        <f>S118-P118</f>
        <v>0</v>
      </c>
    </row>
    <row r="119" spans="1:20" s="60" customFormat="1" ht="22.5" hidden="1" x14ac:dyDescent="0.3">
      <c r="A119" s="62"/>
      <c r="B119" s="57"/>
      <c r="C119" s="58"/>
      <c r="D119" s="111"/>
      <c r="E119" s="111"/>
      <c r="F119" s="126"/>
      <c r="G119" s="111"/>
      <c r="H119" s="213"/>
      <c r="I119" s="213"/>
      <c r="J119" s="213"/>
      <c r="K119" s="111"/>
      <c r="L119" s="100"/>
      <c r="M119" s="111"/>
      <c r="N119" s="99"/>
      <c r="O119" s="100"/>
      <c r="P119" s="126"/>
      <c r="Q119" s="99"/>
      <c r="R119" s="100"/>
    </row>
    <row r="120" spans="1:20" s="60" customFormat="1" ht="88.5" hidden="1" customHeight="1" x14ac:dyDescent="0.3">
      <c r="A120" s="62"/>
      <c r="B120" s="124" t="s">
        <v>77</v>
      </c>
      <c r="C120" s="58"/>
      <c r="D120" s="59">
        <f>D75+D103</f>
        <v>4714611.091</v>
      </c>
      <c r="E120" s="59">
        <f t="shared" si="44"/>
        <v>4714611.091</v>
      </c>
      <c r="F120" s="50">
        <f t="shared" si="63"/>
        <v>1772000.8649999998</v>
      </c>
      <c r="G120" s="59">
        <f t="shared" ref="G120:M120" si="77">G75+G103</f>
        <v>293394.81599999999</v>
      </c>
      <c r="H120" s="205">
        <f t="shared" si="77"/>
        <v>362157.54</v>
      </c>
      <c r="I120" s="205">
        <f t="shared" si="77"/>
        <v>346757.46</v>
      </c>
      <c r="J120" s="205">
        <f t="shared" si="77"/>
        <v>373925.07799999998</v>
      </c>
      <c r="K120" s="59">
        <f t="shared" si="77"/>
        <v>395765.97099999996</v>
      </c>
      <c r="L120" s="100">
        <f>F120/E120*100</f>
        <v>37.585303024944665</v>
      </c>
      <c r="M120" s="59">
        <f t="shared" si="77"/>
        <v>1841588.1100000003</v>
      </c>
      <c r="N120" s="99">
        <f>F120-M120</f>
        <v>-69587.245000000577</v>
      </c>
      <c r="O120" s="100">
        <f>F120/M120*100</f>
        <v>96.221345879562577</v>
      </c>
      <c r="P120" s="50">
        <f>P75+P103</f>
        <v>1602978.6070000001</v>
      </c>
      <c r="Q120" s="99">
        <f>F120-P120</f>
        <v>169022.25799999968</v>
      </c>
      <c r="R120" s="100">
        <f>F120/P120*100</f>
        <v>110.54426161783452</v>
      </c>
    </row>
    <row r="121" spans="1:20" s="15" customFormat="1" ht="3.75" hidden="1" customHeight="1" x14ac:dyDescent="0.3">
      <c r="A121" s="37"/>
      <c r="B121" s="38"/>
      <c r="C121" s="39"/>
      <c r="D121" s="39"/>
      <c r="E121" s="40"/>
      <c r="F121" s="109"/>
      <c r="G121" s="40"/>
      <c r="H121" s="231"/>
      <c r="I121" s="231"/>
      <c r="J121" s="231"/>
      <c r="K121" s="40"/>
      <c r="L121" s="103"/>
      <c r="M121" s="40"/>
      <c r="N121" s="102"/>
      <c r="O121" s="103"/>
      <c r="P121" s="109"/>
      <c r="Q121" s="102"/>
      <c r="R121" s="103"/>
    </row>
    <row r="122" spans="1:20" s="15" customFormat="1" ht="50.25" hidden="1" customHeight="1" x14ac:dyDescent="0.4">
      <c r="A122" s="37"/>
      <c r="B122" s="22" t="s">
        <v>98</v>
      </c>
      <c r="C122" s="22"/>
      <c r="D122" s="22"/>
      <c r="E122" s="22"/>
      <c r="F122" s="22" t="s">
        <v>99</v>
      </c>
      <c r="G122" s="22"/>
      <c r="H122" s="203"/>
      <c r="I122" s="203"/>
      <c r="J122" s="203"/>
      <c r="K122" s="22"/>
      <c r="L122" s="103"/>
      <c r="M122" s="40"/>
      <c r="N122" s="102"/>
      <c r="O122" s="103"/>
      <c r="P122" s="22"/>
      <c r="Q122" s="102"/>
      <c r="R122" s="103"/>
    </row>
    <row r="123" spans="1:20" s="8" customFormat="1" ht="18" hidden="1" customHeight="1" x14ac:dyDescent="0.45">
      <c r="A123" s="6"/>
      <c r="B123" s="31" t="s">
        <v>52</v>
      </c>
      <c r="C123" s="19"/>
      <c r="D123" s="19"/>
      <c r="E123" s="19"/>
      <c r="F123" s="21"/>
      <c r="G123" s="21"/>
      <c r="H123" s="232"/>
      <c r="I123" s="232"/>
      <c r="J123" s="232"/>
      <c r="K123" s="21"/>
      <c r="L123" s="105"/>
      <c r="M123" s="7"/>
      <c r="N123" s="104"/>
      <c r="O123" s="105"/>
      <c r="P123" s="21"/>
      <c r="Q123" s="104"/>
      <c r="R123" s="105"/>
    </row>
    <row r="124" spans="1:20" s="8" customFormat="1" ht="30.75" hidden="1" x14ac:dyDescent="0.45">
      <c r="A124" s="6"/>
      <c r="B124" s="19"/>
      <c r="C124" s="19"/>
      <c r="D124" s="19"/>
      <c r="E124" s="150"/>
      <c r="F124" s="63"/>
      <c r="G124" s="21"/>
      <c r="H124" s="232"/>
      <c r="I124" s="232"/>
      <c r="J124" s="232"/>
      <c r="K124" s="21"/>
      <c r="L124" s="105"/>
      <c r="M124" s="7"/>
      <c r="N124" s="104"/>
      <c r="O124" s="105"/>
      <c r="P124" s="63"/>
      <c r="Q124" s="104"/>
      <c r="R124" s="105"/>
    </row>
    <row r="125" spans="1:20" s="4" customFormat="1" ht="30.75" hidden="1" x14ac:dyDescent="0.45">
      <c r="A125" s="29"/>
      <c r="B125" s="19"/>
      <c r="C125" s="19"/>
      <c r="D125" s="214">
        <v>4785057.2889999999</v>
      </c>
      <c r="E125" s="121">
        <v>4809905.6789999995</v>
      </c>
      <c r="F125" s="207">
        <v>1801371.531</v>
      </c>
      <c r="G125" s="69">
        <v>297255.12099999998</v>
      </c>
      <c r="H125" s="207">
        <v>370917.83299999998</v>
      </c>
      <c r="I125" s="207">
        <v>352606.24</v>
      </c>
      <c r="J125" s="207">
        <v>379616.53399999999</v>
      </c>
      <c r="K125" s="207">
        <v>400975.80300000001</v>
      </c>
      <c r="L125" s="5"/>
      <c r="M125" s="207">
        <v>1870940.693</v>
      </c>
      <c r="N125" s="5"/>
      <c r="O125" s="5"/>
      <c r="P125" s="69"/>
      <c r="Q125" s="5"/>
    </row>
    <row r="126" spans="1:20" ht="12" hidden="1" customHeight="1" x14ac:dyDescent="0.45">
      <c r="B126" s="31"/>
      <c r="C126" s="21"/>
      <c r="D126" s="21"/>
      <c r="E126" s="21"/>
      <c r="F126" s="63"/>
      <c r="P126" s="63"/>
    </row>
    <row r="127" spans="1:20" s="2" customFormat="1" ht="30.75" hidden="1" customHeight="1" x14ac:dyDescent="0.45">
      <c r="A127" s="30"/>
      <c r="B127" s="19"/>
      <c r="C127" s="19"/>
      <c r="D127" s="19"/>
      <c r="E127" s="19"/>
      <c r="F127" s="63"/>
      <c r="H127" s="233"/>
      <c r="I127" s="233"/>
      <c r="J127" s="233"/>
      <c r="L127" s="158"/>
      <c r="N127" s="158"/>
      <c r="O127" s="158"/>
      <c r="P127" s="63"/>
      <c r="Q127" s="158"/>
    </row>
    <row r="128" spans="1:20" s="2" customFormat="1" ht="30.75" hidden="1" customHeight="1" x14ac:dyDescent="0.45">
      <c r="A128" s="30"/>
      <c r="B128" s="19"/>
      <c r="C128" s="19"/>
      <c r="D128" s="19"/>
      <c r="E128" s="19"/>
      <c r="F128" s="63"/>
      <c r="H128" s="233"/>
      <c r="I128" s="233"/>
      <c r="J128" s="233"/>
      <c r="L128" s="158"/>
      <c r="N128" s="158"/>
      <c r="O128" s="158"/>
      <c r="P128" s="63"/>
      <c r="Q128" s="158"/>
    </row>
    <row r="129" spans="1:43" s="2" customFormat="1" ht="16.5" hidden="1" customHeight="1" x14ac:dyDescent="0.45">
      <c r="A129" s="30"/>
      <c r="B129" s="31"/>
      <c r="C129" s="21"/>
      <c r="D129" s="21"/>
      <c r="E129" s="21"/>
      <c r="F129" s="63"/>
      <c r="H129" s="233"/>
      <c r="I129" s="233"/>
      <c r="J129" s="233"/>
      <c r="L129" s="158"/>
      <c r="N129" s="158"/>
      <c r="O129" s="158"/>
      <c r="P129" s="63"/>
      <c r="Q129" s="158"/>
    </row>
    <row r="130" spans="1:43" ht="18.75" hidden="1" x14ac:dyDescent="0.3">
      <c r="B130" s="29"/>
      <c r="D130" s="121">
        <f>D125-D118</f>
        <v>0</v>
      </c>
      <c r="E130" s="121">
        <f t="shared" ref="E130:K130" si="78">E125-E118</f>
        <v>0</v>
      </c>
      <c r="F130" s="121">
        <f t="shared" si="78"/>
        <v>0</v>
      </c>
      <c r="G130" s="121">
        <f t="shared" si="78"/>
        <v>0</v>
      </c>
      <c r="H130" s="214">
        <f t="shared" si="78"/>
        <v>-9.9999998928979039E-4</v>
      </c>
      <c r="I130" s="214">
        <f t="shared" ref="I130:J130" si="79">I125-I118</f>
        <v>9.9999998928979039E-4</v>
      </c>
      <c r="J130" s="214">
        <f t="shared" si="79"/>
        <v>0</v>
      </c>
      <c r="K130" s="121">
        <f t="shared" si="78"/>
        <v>0</v>
      </c>
      <c r="M130" s="121">
        <f>M125-M118</f>
        <v>0</v>
      </c>
      <c r="N130" s="250" t="s">
        <v>49</v>
      </c>
      <c r="O130" s="250"/>
      <c r="P130" s="121"/>
    </row>
    <row r="131" spans="1:43" ht="18.75" hidden="1" x14ac:dyDescent="0.3">
      <c r="B131" s="29"/>
      <c r="M131" s="123"/>
      <c r="N131" s="158"/>
      <c r="O131" s="158"/>
    </row>
    <row r="132" spans="1:43" ht="18.75" hidden="1" x14ac:dyDescent="0.3">
      <c r="B132" s="4"/>
      <c r="C132" s="3"/>
      <c r="D132" s="3"/>
      <c r="E132" s="122">
        <v>4796841.7089999998</v>
      </c>
      <c r="F132" s="122">
        <v>1400395.7279999999</v>
      </c>
      <c r="N132" s="250" t="s">
        <v>50</v>
      </c>
      <c r="O132" s="250"/>
      <c r="P132" s="122"/>
    </row>
    <row r="133" spans="1:43" ht="18.75" hidden="1" x14ac:dyDescent="0.3">
      <c r="B133" s="4"/>
      <c r="C133" s="3"/>
      <c r="D133" s="3"/>
      <c r="E133" s="3"/>
      <c r="F133" s="3"/>
      <c r="N133" s="158"/>
      <c r="O133" s="158"/>
      <c r="P133" s="3"/>
    </row>
    <row r="134" spans="1:43" ht="22.5" hidden="1" x14ac:dyDescent="0.3">
      <c r="B134" s="4"/>
      <c r="C134" s="3"/>
      <c r="D134" s="3"/>
      <c r="E134" s="151"/>
      <c r="F134" s="151"/>
      <c r="N134" s="250" t="s">
        <v>51</v>
      </c>
      <c r="O134" s="250"/>
      <c r="P134" s="151"/>
    </row>
    <row r="135" spans="1:43" ht="18.75" hidden="1" x14ac:dyDescent="0.3">
      <c r="B135" s="4"/>
      <c r="C135" s="3"/>
      <c r="D135" s="3"/>
      <c r="E135" s="3"/>
      <c r="N135" s="158"/>
      <c r="O135" s="158"/>
    </row>
    <row r="136" spans="1:43" ht="18.75" hidden="1" x14ac:dyDescent="0.3">
      <c r="B136" s="4"/>
      <c r="C136" s="3"/>
      <c r="D136" s="3"/>
      <c r="E136" s="3"/>
    </row>
    <row r="137" spans="1:43" ht="18.75" hidden="1" x14ac:dyDescent="0.3">
      <c r="B137" s="152"/>
      <c r="C137" s="3"/>
      <c r="D137" s="3"/>
      <c r="E137" s="3"/>
    </row>
    <row r="138" spans="1:43" ht="18.75" hidden="1" x14ac:dyDescent="0.3">
      <c r="B138" s="4"/>
      <c r="C138" s="3"/>
      <c r="D138" s="3"/>
      <c r="E138" s="3"/>
    </row>
    <row r="139" spans="1:43" s="20" customFormat="1" ht="18.75" hidden="1" x14ac:dyDescent="0.3">
      <c r="B139" s="4"/>
      <c r="C139" s="3"/>
      <c r="D139" s="3"/>
      <c r="E139" s="3"/>
      <c r="F139" s="33"/>
      <c r="G139" s="3"/>
      <c r="H139" s="228"/>
      <c r="I139" s="228"/>
      <c r="J139" s="228"/>
      <c r="K139" s="3"/>
      <c r="L139" s="1"/>
      <c r="M139" s="3"/>
      <c r="N139" s="1"/>
      <c r="O139" s="1"/>
      <c r="P139" s="33"/>
      <c r="Q139" s="1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</row>
    <row r="140" spans="1:43" s="20" customFormat="1" ht="18.75" hidden="1" x14ac:dyDescent="0.3">
      <c r="B140" s="4"/>
      <c r="C140" s="3"/>
      <c r="D140" s="3"/>
      <c r="E140" s="122"/>
      <c r="F140" s="153"/>
      <c r="G140" s="3"/>
      <c r="H140" s="228"/>
      <c r="I140" s="228"/>
      <c r="J140" s="228"/>
      <c r="K140" s="3"/>
      <c r="L140" s="1"/>
      <c r="M140" s="3"/>
      <c r="N140" s="1"/>
      <c r="O140" s="1"/>
      <c r="P140" s="153"/>
      <c r="Q140" s="1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</row>
    <row r="141" spans="1:43" s="20" customFormat="1" ht="18.75" hidden="1" x14ac:dyDescent="0.3">
      <c r="B141" s="4"/>
      <c r="C141" s="3"/>
      <c r="D141" s="154"/>
      <c r="E141" s="3"/>
      <c r="F141" s="33"/>
      <c r="G141" s="3"/>
      <c r="H141" s="228"/>
      <c r="I141" s="228"/>
      <c r="J141" s="228"/>
      <c r="K141" s="3"/>
      <c r="L141" s="1"/>
      <c r="M141" s="3"/>
      <c r="N141" s="1"/>
      <c r="O141" s="1"/>
      <c r="P141" s="33"/>
      <c r="Q141" s="1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</row>
    <row r="142" spans="1:43" s="20" customFormat="1" ht="18.75" x14ac:dyDescent="0.3">
      <c r="B142" s="4"/>
      <c r="C142" s="3"/>
      <c r="D142" s="3"/>
      <c r="E142" s="3"/>
      <c r="F142" s="228"/>
      <c r="G142" s="228"/>
      <c r="H142" s="228"/>
      <c r="I142" s="228"/>
      <c r="J142" s="228"/>
      <c r="K142" s="228"/>
      <c r="L142" s="1"/>
      <c r="M142" s="228"/>
      <c r="N142" s="1"/>
      <c r="O142" s="1"/>
      <c r="P142" s="228"/>
      <c r="Q142" s="1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</row>
    <row r="143" spans="1:43" s="20" customFormat="1" ht="30" x14ac:dyDescent="0.4">
      <c r="B143" s="203" t="s">
        <v>206</v>
      </c>
      <c r="C143" s="203"/>
      <c r="D143" s="203"/>
      <c r="E143" s="203"/>
      <c r="F143" s="203" t="s">
        <v>207</v>
      </c>
      <c r="G143" s="203"/>
      <c r="H143" s="231"/>
      <c r="I143" s="102"/>
      <c r="J143" s="1"/>
      <c r="K143" s="1"/>
      <c r="L143" s="1"/>
      <c r="M143" s="228"/>
      <c r="N143" s="1"/>
      <c r="O143" s="1"/>
      <c r="P143" s="228"/>
      <c r="Q143" s="1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</row>
    <row r="144" spans="1:43" s="20" customFormat="1" ht="30.75" x14ac:dyDescent="0.45">
      <c r="B144" s="31" t="s">
        <v>52</v>
      </c>
      <c r="C144" s="19"/>
      <c r="D144" s="19"/>
      <c r="E144" s="19"/>
      <c r="F144" s="232"/>
      <c r="G144" s="232"/>
      <c r="H144" s="7"/>
      <c r="I144" s="104"/>
      <c r="J144" s="1"/>
      <c r="K144" s="1"/>
      <c r="L144" s="1"/>
      <c r="M144" s="228"/>
      <c r="N144" s="1"/>
      <c r="O144" s="1"/>
      <c r="P144" s="122"/>
      <c r="Q144" s="1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</row>
    <row r="145" spans="2:43" s="20" customFormat="1" ht="18.75" x14ac:dyDescent="0.3">
      <c r="B145" s="4"/>
      <c r="C145" s="228"/>
      <c r="D145" s="228"/>
      <c r="E145" s="122"/>
      <c r="F145" s="122"/>
      <c r="G145" s="228"/>
      <c r="H145" s="228"/>
      <c r="I145" s="228"/>
      <c r="J145" s="228"/>
      <c r="K145" s="1"/>
      <c r="L145" s="1"/>
      <c r="M145" s="3"/>
      <c r="N145" s="1"/>
      <c r="O145" s="1"/>
      <c r="P145" s="33"/>
      <c r="Q145" s="1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</row>
    <row r="146" spans="2:43" s="20" customFormat="1" ht="18.75" x14ac:dyDescent="0.3">
      <c r="B146" s="4"/>
      <c r="C146" s="3"/>
      <c r="D146" s="3"/>
      <c r="E146" s="3"/>
      <c r="F146" s="33"/>
      <c r="G146" s="3"/>
      <c r="H146" s="228"/>
      <c r="I146" s="228"/>
      <c r="J146" s="228"/>
      <c r="K146" s="3"/>
      <c r="L146" s="1"/>
      <c r="M146" s="3"/>
      <c r="N146" s="1"/>
      <c r="O146" s="1"/>
      <c r="P146" s="33"/>
      <c r="Q146" s="1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</row>
    <row r="147" spans="2:43" s="20" customFormat="1" ht="18.75" x14ac:dyDescent="0.3">
      <c r="B147" s="29"/>
      <c r="F147" s="33"/>
      <c r="G147" s="3"/>
      <c r="H147" s="228"/>
      <c r="I147" s="228"/>
      <c r="J147" s="228"/>
      <c r="K147" s="3"/>
      <c r="L147" s="1"/>
      <c r="M147" s="3"/>
      <c r="N147" s="1"/>
      <c r="O147" s="1"/>
      <c r="P147" s="33"/>
      <c r="Q147" s="1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</row>
    <row r="148" spans="2:43" s="20" customFormat="1" ht="18.75" x14ac:dyDescent="0.3">
      <c r="B148" s="29"/>
      <c r="F148" s="33"/>
      <c r="G148" s="3"/>
      <c r="H148" s="228"/>
      <c r="I148" s="228"/>
      <c r="J148" s="228"/>
      <c r="K148" s="3"/>
      <c r="L148" s="1"/>
      <c r="M148" s="3"/>
      <c r="N148" s="1"/>
      <c r="O148" s="1"/>
      <c r="P148" s="33"/>
      <c r="Q148" s="1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</row>
  </sheetData>
  <mergeCells count="28">
    <mergeCell ref="I3:I4"/>
    <mergeCell ref="J3:J4"/>
    <mergeCell ref="C3:C4"/>
    <mergeCell ref="D3:D4"/>
    <mergeCell ref="E3:E4"/>
    <mergeCell ref="F3:F4"/>
    <mergeCell ref="H3:H4"/>
    <mergeCell ref="N132:O132"/>
    <mergeCell ref="N134:O134"/>
    <mergeCell ref="C19:C21"/>
    <mergeCell ref="A55:A57"/>
    <mergeCell ref="C55:C57"/>
    <mergeCell ref="A1:R1"/>
    <mergeCell ref="A104:R104"/>
    <mergeCell ref="B6:R6"/>
    <mergeCell ref="B76:R76"/>
    <mergeCell ref="N130:O130"/>
    <mergeCell ref="R3:R4"/>
    <mergeCell ref="M3:M4"/>
    <mergeCell ref="N3:N4"/>
    <mergeCell ref="O3:O4"/>
    <mergeCell ref="L3:L4"/>
    <mergeCell ref="P3:P4"/>
    <mergeCell ref="Q3:Q4"/>
    <mergeCell ref="A3:A4"/>
    <mergeCell ref="G3:G4"/>
    <mergeCell ref="K3:K4"/>
    <mergeCell ref="B3:B4"/>
  </mergeCells>
  <printOptions horizontalCentered="1"/>
  <pageMargins left="0.39370078740157483" right="0" top="0" bottom="0" header="0.23622047244094491" footer="0.11811023622047245"/>
  <pageSetup paperSize="8" scale="88" fitToHeight="6" orientation="landscape" horizontalDpi="300" verticalDpi="300" r:id="rId1"/>
  <headerFooter alignWithMargins="0"/>
  <rowBreaks count="2" manualBreakCount="2">
    <brk id="47" max="17" man="1"/>
    <brk id="75" max="1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A029950C053C244A6A9F13E4B878893" ma:contentTypeVersion="0" ma:contentTypeDescription="Створення нового документа." ma:contentTypeScope="" ma:versionID="8013ad39d31bd0b6f241a0d4cccdf3c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6c1214ede72f45502cafdd67aec15b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 ma:readOnly="true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DC5F1B-D535-4A3F-8E8B-D26E9B29982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7165E8A-1497-4595-9DEC-0A096D6544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3D7FED-1DE7-42FA-B81E-F9B480DFC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2021</vt:lpstr>
      <vt:lpstr>'2021'!Print_Area</vt:lpstr>
      <vt:lpstr>'2021'!Print_Titles</vt:lpstr>
      <vt:lpstr>'2021'!Заголовки_для_печати</vt:lpstr>
      <vt:lpstr>'2021'!Область_печати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Шевчук Наталія Борисівна</cp:lastModifiedBy>
  <cp:lastPrinted>2021-10-04T05:25:03Z</cp:lastPrinted>
  <dcterms:created xsi:type="dcterms:W3CDTF">1996-10-08T23:32:33Z</dcterms:created>
  <dcterms:modified xsi:type="dcterms:W3CDTF">2021-10-04T05:47:23Z</dcterms:modified>
</cp:coreProperties>
</file>